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2.xml" ContentType="application/vnd.openxmlformats-officedocument.spreadsheetml.comments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trlProps/ctrlProp10.xml" ContentType="application/vnd.ms-excel.controlproperties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trlProps/ctrlProp13.xml" ContentType="application/vnd.ms-excel.controlproperties+xml"/>
  <Override PartName="/xl/comments7.xml" ContentType="application/vnd.openxmlformats-officedocument.spreadsheetml.comments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2.xml" ContentType="application/vnd.openxmlformats-officedocument.drawing+xml"/>
  <Override PartName="/xl/ctrlProps/ctrlProp14.xml" ContentType="application/vnd.ms-excel.controlproperties+xml"/>
  <Override PartName="/xl/comments8.xml" ContentType="application/vnd.openxmlformats-officedocument.spreadsheetml.comments+xml"/>
  <Override PartName="/xl/drawings/drawing13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drawings/drawing14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5.xml" ContentType="application/vnd.openxmlformats-officedocument.drawing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an\Dropbox\GCI\Econ\model_fy17\"/>
    </mc:Choice>
  </mc:AlternateContent>
  <bookViews>
    <workbookView xWindow="0" yWindow="-15" windowWidth="3855" windowHeight="8280" tabRatio="836" activeTab="2"/>
  </bookViews>
  <sheets>
    <sheet name="POMV vs Distrib Income" sheetId="36" r:id="rId1"/>
    <sheet name="Tradeoffs" sheetId="35" r:id="rId2"/>
    <sheet name="Help" sheetId="43" r:id="rId3"/>
    <sheet name="Common Inputs" sheetId="16" r:id="rId4"/>
    <sheet name="HB 61 Charts Helper" sheetId="11" state="hidden" r:id="rId5"/>
    <sheet name="Production Tax Table" sheetId="15" state="hidden" r:id="rId6"/>
    <sheet name="Royalty Table" sheetId="14" state="hidden" r:id="rId7"/>
    <sheet name="HB 115 Charts Helper" sheetId="24" state="hidden" r:id="rId8"/>
    <sheet name="SB 70 Charts Helper" sheetId="46" state="hidden" r:id="rId9"/>
    <sheet name="SB 21 Charts Helper" sheetId="42" state="hidden" r:id="rId10"/>
    <sheet name="SB 84 Charts Helper" sheetId="34" state="hidden" r:id="rId11"/>
    <sheet name="Generic Charts Helper" sheetId="13" state="hidden" r:id="rId12"/>
    <sheet name="HB 115" sheetId="29" state="hidden" r:id="rId13"/>
    <sheet name="HB 115 Charts" sheetId="30" state="hidden" r:id="rId14"/>
    <sheet name="SB 26" sheetId="44" r:id="rId15"/>
    <sheet name="SB 26 Charts" sheetId="45" r:id="rId16"/>
    <sheet name="HB61" sheetId="1" state="hidden" r:id="rId17"/>
    <sheet name="HB61 Charts" sheetId="4" state="hidden" r:id="rId18"/>
    <sheet name="SB 21" sheetId="40" state="hidden" r:id="rId19"/>
    <sheet name="SB 21 Charts" sheetId="41" state="hidden" r:id="rId20"/>
    <sheet name="SB 84" sheetId="32" state="hidden" r:id="rId21"/>
    <sheet name="SB 84 Charts" sheetId="33" state="hidden" r:id="rId22"/>
    <sheet name="Scratchpad" sheetId="31" state="hidden" r:id="rId23"/>
    <sheet name="Generic" sheetId="28" state="hidden" r:id="rId24"/>
    <sheet name="Generic Charts" sheetId="10" state="hidden" r:id="rId25"/>
    <sheet name="Flow Example" sheetId="37" state="hidden" r:id="rId26"/>
    <sheet name="Payout Examples" sheetId="38" state="hidden" r:id="rId27"/>
    <sheet name="PF Model" sheetId="2" r:id="rId28"/>
    <sheet name="Version Log" sheetId="3" r:id="rId29"/>
    <sheet name="To Do" sheetId="26" state="hidden" r:id="rId30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cbr_end_fy16_adj">'PF Model'!$D$11</definedName>
    <definedName name="convert_to_cbr">'PF Model'!$D$13</definedName>
    <definedName name="delay_HB365" localSheetId="18">'SB 21'!#REF!</definedName>
    <definedName name="delay_HB365">'HB 115'!$A$19</definedName>
    <definedName name="delay_SB128">'HB61'!$A$38</definedName>
    <definedName name="delay_SB70">'SB 26'!$A$18</definedName>
    <definedName name="div_expenses">'Common Inputs'!$C$63</definedName>
    <definedName name="div_growth">'Common Inputs'!$C$65</definedName>
    <definedName name="FY17_ER_CBR">'Common Inputs'!#REF!</definedName>
    <definedName name="include_FY17_ER_CBR">'Common Inputs'!#REF!</definedName>
    <definedName name="inflation">'Common Inputs'!$C$55</definedName>
    <definedName name="inflation_fy17">'Common Inputs'!$C$54</definedName>
    <definedName name="init_pfd_recips">'Common Inputs'!$C$64</definedName>
    <definedName name="limit_ER">'POMV vs Distrib Income'!$K$8</definedName>
    <definedName name="Pal_Workbook_GUID" hidden="1">"18EDNR521DD4TD7RW8VZXKZN"</definedName>
    <definedName name="_xlnm.Print_Area" localSheetId="3">'Common Inputs'!$A:$G</definedName>
    <definedName name="_xlnm.Print_Area" localSheetId="23">Generic!$A$1:$H$58</definedName>
    <definedName name="_xlnm.Print_Area" localSheetId="12">'HB 115'!$A$1:$H$74</definedName>
    <definedName name="_xlnm.Print_Area" localSheetId="16">'HB61'!$A$1:$H$108</definedName>
    <definedName name="_xlnm.Print_Area" localSheetId="18">'SB 21'!$A$1:$H$68</definedName>
    <definedName name="_xlnm.Print_Area" localSheetId="14">'SB 26'!$A$1:$H$84</definedName>
    <definedName name="_xlnm.Print_Area" localSheetId="20">'SB 84'!$A$1:$H$73</definedName>
    <definedName name="reduce_royalty_50_50">'SB 84'!$A$25</definedName>
    <definedName name="reduce_royalty_HB365">'HB 115'!$A$20</definedName>
    <definedName name="reduce_royalty_SB21">'SB 21'!$A$19</definedName>
    <definedName name="return_cbr">'Common Inputs'!$C$58</definedName>
    <definedName name="return_cbr_fy17">'Common Inputs'!$C$57</definedName>
    <definedName name="return_stat">'Common Inputs'!$C$51</definedName>
    <definedName name="return_stat_fy17">'Common Inputs'!$C$49</definedName>
    <definedName name="return_total">'Common Inputs'!$C$45</definedName>
    <definedName name="return_total_fy17">'Common Inputs'!$C$43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FALSE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sb114_pomv_pct">'HB61'!$B$39</definedName>
    <definedName name="series_x_values">'HB 61 Charts Helper'!$A$14:$A$75</definedName>
    <definedName name="series_x_values_yearly">'HB 61 Charts Helper'!$A$4:$F$4</definedName>
    <definedName name="sq_cbr">'HB 61 Charts Helper'!$F$14:$F$75</definedName>
    <definedName name="sq_cbr2">'HB 61 Charts Helper'!$S$14:$S$75</definedName>
    <definedName name="sq_er">'HB 61 Charts Helper'!$O$14:$O$75</definedName>
    <definedName name="sq_er2">'HB 61 Charts Helper'!$T$14:$T$75</definedName>
    <definedName name="sq_pf">'PF Model'!$G$28:$L$28</definedName>
    <definedName name="sq_pf2">'PF Model'!$G$30:$L$30</definedName>
    <definedName name="sq2_label" localSheetId="15">'SB 26 Charts'!$N$4</definedName>
    <definedName name="sq2_label">'HB61 Charts'!$N$4</definedName>
    <definedName name="tbl_prod_tax">'Production Tax Table'!$A$11:$G$47</definedName>
    <definedName name="tbl_royalties">'Royalty Table'!$A$11:$G$47</definedName>
  </definedNames>
  <calcPr calcId="162913"/>
</workbook>
</file>

<file path=xl/calcChain.xml><?xml version="1.0" encoding="utf-8"?>
<calcChain xmlns="http://schemas.openxmlformats.org/spreadsheetml/2006/main">
  <c r="H143" i="2" l="1"/>
  <c r="S48" i="36" l="1"/>
  <c r="N48" i="36"/>
  <c r="B48" i="36"/>
  <c r="G56" i="2"/>
  <c r="B64" i="1"/>
  <c r="B75" i="1" s="1"/>
  <c r="G226" i="2"/>
  <c r="B25" i="28"/>
  <c r="B37" i="28" s="1"/>
  <c r="G194" i="2"/>
  <c r="B42" i="32"/>
  <c r="B53" i="32" s="1"/>
  <c r="G162" i="2"/>
  <c r="B36" i="40"/>
  <c r="B48" i="40" s="1"/>
  <c r="G128" i="2"/>
  <c r="B47" i="44"/>
  <c r="B58" i="44" s="1"/>
  <c r="G94" i="2" l="1"/>
  <c r="B29" i="29"/>
  <c r="B42" i="29"/>
  <c r="B54" i="29" s="1"/>
  <c r="G43" i="29"/>
  <c r="F43" i="29"/>
  <c r="E43" i="29"/>
  <c r="D43" i="29"/>
  <c r="E27" i="16" l="1"/>
  <c r="G24" i="16"/>
  <c r="G27" i="16" s="1"/>
  <c r="F24" i="16"/>
  <c r="F27" i="16" s="1"/>
  <c r="E24" i="16"/>
  <c r="D24" i="16"/>
  <c r="D27" i="16" s="1"/>
  <c r="C24" i="16"/>
  <c r="C27" i="16" s="1"/>
  <c r="B24" i="16"/>
  <c r="B27" i="16" s="1"/>
  <c r="C85" i="35" l="1"/>
  <c r="D85" i="35" s="1"/>
  <c r="U48" i="36" l="1"/>
  <c r="D81" i="35" l="1"/>
  <c r="D82" i="35"/>
  <c r="D83" i="35"/>
  <c r="D84" i="35"/>
  <c r="D80" i="35"/>
  <c r="C81" i="35"/>
  <c r="C82" i="35"/>
  <c r="C83" i="35"/>
  <c r="C84" i="35"/>
  <c r="C80" i="35"/>
  <c r="B84" i="35"/>
  <c r="B83" i="35"/>
  <c r="D77" i="35"/>
  <c r="I6" i="45"/>
  <c r="J6" i="45"/>
  <c r="K6" i="45"/>
  <c r="L6" i="45"/>
  <c r="H6" i="45"/>
  <c r="B72" i="46"/>
  <c r="B71" i="46"/>
  <c r="B70" i="46"/>
  <c r="B69" i="46"/>
  <c r="B68" i="46"/>
  <c r="B67" i="46"/>
  <c r="B66" i="46"/>
  <c r="B65" i="46"/>
  <c r="B64" i="46"/>
  <c r="B63" i="46"/>
  <c r="B62" i="46"/>
  <c r="B61" i="46"/>
  <c r="B60" i="46"/>
  <c r="B59" i="46"/>
  <c r="B58" i="46"/>
  <c r="B57" i="46"/>
  <c r="B56" i="46"/>
  <c r="B55" i="46"/>
  <c r="B54" i="46"/>
  <c r="B53" i="46"/>
  <c r="B52" i="46"/>
  <c r="B51" i="46"/>
  <c r="B50" i="46"/>
  <c r="B49" i="46"/>
  <c r="B48" i="46"/>
  <c r="B47" i="46"/>
  <c r="B46" i="46"/>
  <c r="B45" i="46"/>
  <c r="B44" i="46"/>
  <c r="B43" i="46"/>
  <c r="B42" i="46"/>
  <c r="B41" i="46"/>
  <c r="B40" i="46"/>
  <c r="B39" i="46"/>
  <c r="B38" i="46"/>
  <c r="B37" i="46"/>
  <c r="B36" i="46"/>
  <c r="B35" i="46"/>
  <c r="B34" i="46"/>
  <c r="B33" i="46"/>
  <c r="B32" i="46"/>
  <c r="B31" i="46"/>
  <c r="B30" i="46"/>
  <c r="B29" i="46"/>
  <c r="B28" i="46"/>
  <c r="B27" i="46"/>
  <c r="B26" i="46"/>
  <c r="B25" i="46"/>
  <c r="B24" i="46"/>
  <c r="B23" i="46"/>
  <c r="B22" i="46"/>
  <c r="B21" i="46"/>
  <c r="B20" i="46"/>
  <c r="B19" i="46"/>
  <c r="B18" i="46"/>
  <c r="B17" i="46"/>
  <c r="B16" i="46"/>
  <c r="B15" i="46"/>
  <c r="B14" i="46"/>
  <c r="B13" i="46"/>
  <c r="B12" i="46"/>
  <c r="B11" i="46"/>
  <c r="C18" i="46" l="1"/>
  <c r="C24" i="46"/>
  <c r="C19" i="46"/>
  <c r="C28" i="46"/>
  <c r="C22" i="46"/>
  <c r="C11" i="46"/>
  <c r="C12" i="46"/>
  <c r="C13" i="46"/>
  <c r="C14" i="46"/>
  <c r="C15" i="46"/>
  <c r="C16" i="46"/>
  <c r="C17" i="46"/>
  <c r="C20" i="46"/>
  <c r="C26" i="46"/>
  <c r="C21" i="46"/>
  <c r="C23" i="46"/>
  <c r="C25" i="46"/>
  <c r="C27" i="46"/>
  <c r="C29" i="46"/>
  <c r="C40" i="46"/>
  <c r="C52" i="46"/>
  <c r="C32" i="46"/>
  <c r="C34" i="46"/>
  <c r="C35" i="46"/>
  <c r="C37" i="46"/>
  <c r="C39" i="46"/>
  <c r="C41" i="46"/>
  <c r="C45" i="46"/>
  <c r="C47" i="46"/>
  <c r="C49" i="46"/>
  <c r="C51" i="46"/>
  <c r="C53" i="46"/>
  <c r="C55" i="46"/>
  <c r="C57" i="46"/>
  <c r="C59" i="46"/>
  <c r="C61" i="46"/>
  <c r="C63" i="46"/>
  <c r="C65" i="46"/>
  <c r="C67" i="46"/>
  <c r="C69" i="46"/>
  <c r="C71" i="46"/>
  <c r="C31" i="46"/>
  <c r="C33" i="46"/>
  <c r="C36" i="46"/>
  <c r="C43" i="46"/>
  <c r="C30" i="46"/>
  <c r="C38" i="46"/>
  <c r="C42" i="46"/>
  <c r="C44" i="46"/>
  <c r="C46" i="46"/>
  <c r="C48" i="46"/>
  <c r="C50" i="46"/>
  <c r="C54" i="46"/>
  <c r="C56" i="46"/>
  <c r="C58" i="46"/>
  <c r="C60" i="46"/>
  <c r="C62" i="46"/>
  <c r="C64" i="46"/>
  <c r="C66" i="46"/>
  <c r="C68" i="46"/>
  <c r="C70" i="46"/>
  <c r="C72" i="46"/>
  <c r="G147" i="2"/>
  <c r="G125" i="2"/>
  <c r="G91" i="2"/>
  <c r="F140" i="2"/>
  <c r="E140" i="2"/>
  <c r="D140" i="2"/>
  <c r="C140" i="2"/>
  <c r="B140" i="2"/>
  <c r="F135" i="2"/>
  <c r="F134" i="2"/>
  <c r="E130" i="2"/>
  <c r="D130" i="2"/>
  <c r="C130" i="2"/>
  <c r="B130" i="2"/>
  <c r="G148" i="2"/>
  <c r="L124" i="2"/>
  <c r="K124" i="2"/>
  <c r="J124" i="2"/>
  <c r="I124" i="2"/>
  <c r="H124" i="2"/>
  <c r="G124" i="2"/>
  <c r="D35" i="40"/>
  <c r="E35" i="40"/>
  <c r="F35" i="40"/>
  <c r="G35" i="40"/>
  <c r="C35" i="40"/>
  <c r="I7" i="41"/>
  <c r="J7" i="41"/>
  <c r="K7" i="41"/>
  <c r="L7" i="41"/>
  <c r="H7" i="41"/>
  <c r="B91" i="44"/>
  <c r="B86" i="44"/>
  <c r="C86" i="44" s="1"/>
  <c r="G62" i="44"/>
  <c r="F62" i="44"/>
  <c r="E62" i="44"/>
  <c r="E69" i="44" s="1"/>
  <c r="D62" i="44"/>
  <c r="D69" i="44" s="1"/>
  <c r="C62" i="44"/>
  <c r="B62" i="44"/>
  <c r="A32" i="44"/>
  <c r="B14" i="44"/>
  <c r="G13" i="44"/>
  <c r="F13" i="44"/>
  <c r="E13" i="44"/>
  <c r="D13" i="44"/>
  <c r="C13" i="44"/>
  <c r="B13" i="44"/>
  <c r="G12" i="44"/>
  <c r="F12" i="44"/>
  <c r="E12" i="44"/>
  <c r="D12" i="44"/>
  <c r="C12" i="44"/>
  <c r="B12" i="44"/>
  <c r="G6" i="44"/>
  <c r="F6" i="44"/>
  <c r="E6" i="44"/>
  <c r="D6" i="44"/>
  <c r="C6" i="44"/>
  <c r="B6" i="44"/>
  <c r="G5" i="44"/>
  <c r="F5" i="44"/>
  <c r="E5" i="44"/>
  <c r="D5" i="44"/>
  <c r="C5" i="44"/>
  <c r="B5" i="44"/>
  <c r="F69" i="44" l="1"/>
  <c r="D86" i="44"/>
  <c r="D88" i="44" s="1"/>
  <c r="D89" i="44" s="1"/>
  <c r="I127" i="2" s="1"/>
  <c r="I146" i="2" s="1"/>
  <c r="B69" i="44"/>
  <c r="C69" i="44"/>
  <c r="G69" i="44"/>
  <c r="D46" i="44" l="1"/>
  <c r="D90" i="44"/>
  <c r="D92" i="44" s="1"/>
  <c r="E86" i="44"/>
  <c r="G159" i="2"/>
  <c r="G177" i="2" s="1"/>
  <c r="F174" i="2"/>
  <c r="E174" i="2"/>
  <c r="D174" i="2"/>
  <c r="C174" i="2"/>
  <c r="B174" i="2"/>
  <c r="F169" i="2"/>
  <c r="F168" i="2"/>
  <c r="E164" i="2"/>
  <c r="D164" i="2"/>
  <c r="C164" i="2"/>
  <c r="B164" i="2"/>
  <c r="G180" i="2"/>
  <c r="L158" i="2"/>
  <c r="K158" i="2"/>
  <c r="J158" i="2"/>
  <c r="I158" i="2"/>
  <c r="H158" i="2"/>
  <c r="G158" i="2"/>
  <c r="E22" i="40"/>
  <c r="E21" i="40"/>
  <c r="B72" i="42"/>
  <c r="B71" i="42"/>
  <c r="B70" i="42"/>
  <c r="B69" i="42"/>
  <c r="B68" i="42"/>
  <c r="B67" i="42"/>
  <c r="B66" i="42"/>
  <c r="B65" i="42"/>
  <c r="B64" i="42"/>
  <c r="B63" i="42"/>
  <c r="B62" i="42"/>
  <c r="B61" i="42"/>
  <c r="B60" i="42"/>
  <c r="B59" i="42"/>
  <c r="B58" i="42"/>
  <c r="B57" i="42"/>
  <c r="B56" i="42"/>
  <c r="B55" i="42"/>
  <c r="B54" i="42"/>
  <c r="B53" i="42"/>
  <c r="B52" i="42"/>
  <c r="B51" i="42"/>
  <c r="B50" i="42"/>
  <c r="B49" i="42"/>
  <c r="B48" i="42"/>
  <c r="B47" i="42"/>
  <c r="B46" i="42"/>
  <c r="B45" i="42"/>
  <c r="B44" i="42"/>
  <c r="B43" i="42"/>
  <c r="B42" i="42"/>
  <c r="B41" i="42"/>
  <c r="B40" i="42"/>
  <c r="B39" i="42"/>
  <c r="B38" i="42"/>
  <c r="B37" i="42"/>
  <c r="B36" i="42"/>
  <c r="B35" i="42"/>
  <c r="B34" i="42"/>
  <c r="B33" i="42"/>
  <c r="B32" i="42"/>
  <c r="B31" i="42"/>
  <c r="C30" i="42"/>
  <c r="B30" i="42"/>
  <c r="C29" i="42"/>
  <c r="B29" i="42"/>
  <c r="C28" i="42"/>
  <c r="B28" i="42"/>
  <c r="C27" i="42"/>
  <c r="B27" i="42"/>
  <c r="C26" i="42"/>
  <c r="B26" i="42"/>
  <c r="C25" i="42"/>
  <c r="B25" i="42"/>
  <c r="C24" i="42"/>
  <c r="B24" i="42"/>
  <c r="C23" i="42"/>
  <c r="B23" i="42"/>
  <c r="C22" i="42"/>
  <c r="B22" i="42"/>
  <c r="C21" i="42"/>
  <c r="B21" i="42"/>
  <c r="C20" i="42"/>
  <c r="B20" i="42"/>
  <c r="C19" i="42"/>
  <c r="B19" i="42"/>
  <c r="C18" i="42"/>
  <c r="B18" i="42"/>
  <c r="C17" i="42"/>
  <c r="B17" i="42"/>
  <c r="C16" i="42"/>
  <c r="B16" i="42"/>
  <c r="C15" i="42"/>
  <c r="B15" i="42"/>
  <c r="C14" i="42"/>
  <c r="B14" i="42"/>
  <c r="C13" i="42"/>
  <c r="B13" i="42"/>
  <c r="C12" i="42"/>
  <c r="B12" i="42"/>
  <c r="C11" i="42"/>
  <c r="B11" i="42"/>
  <c r="B73" i="40"/>
  <c r="B70" i="40"/>
  <c r="C70" i="40" s="1"/>
  <c r="D70" i="40" s="1"/>
  <c r="E70" i="40" s="1"/>
  <c r="F70" i="40" s="1"/>
  <c r="G70" i="40" s="1"/>
  <c r="G52" i="40"/>
  <c r="F52" i="40"/>
  <c r="E52" i="40"/>
  <c r="D52" i="40"/>
  <c r="C52" i="40"/>
  <c r="B52" i="40"/>
  <c r="A29" i="40"/>
  <c r="A16" i="40"/>
  <c r="A15" i="40"/>
  <c r="B14" i="40"/>
  <c r="A14" i="40"/>
  <c r="G13" i="40"/>
  <c r="F13" i="40"/>
  <c r="E13" i="40"/>
  <c r="D13" i="40"/>
  <c r="C13" i="40"/>
  <c r="B13" i="40"/>
  <c r="A13" i="40"/>
  <c r="G12" i="40"/>
  <c r="F12" i="40"/>
  <c r="E12" i="40"/>
  <c r="D12" i="40"/>
  <c r="C12" i="40"/>
  <c r="B12" i="40"/>
  <c r="A12" i="40"/>
  <c r="A11" i="40"/>
  <c r="A10" i="40"/>
  <c r="A9" i="40"/>
  <c r="A8" i="40"/>
  <c r="A7" i="40"/>
  <c r="G6" i="40"/>
  <c r="F6" i="40"/>
  <c r="E6" i="40"/>
  <c r="D6" i="40"/>
  <c r="C6" i="40"/>
  <c r="B6" i="40"/>
  <c r="A6" i="40"/>
  <c r="G5" i="40"/>
  <c r="L6" i="41" s="1"/>
  <c r="F5" i="40"/>
  <c r="K6" i="41" s="1"/>
  <c r="E5" i="40"/>
  <c r="J6" i="41" s="1"/>
  <c r="D5" i="40"/>
  <c r="I6" i="41" s="1"/>
  <c r="C5" i="40"/>
  <c r="H6" i="41" s="1"/>
  <c r="B5" i="40"/>
  <c r="G6" i="41" s="1"/>
  <c r="A5" i="40"/>
  <c r="B47" i="36"/>
  <c r="G113" i="2"/>
  <c r="F233" i="2"/>
  <c r="F232" i="2"/>
  <c r="F201" i="2"/>
  <c r="F200" i="2"/>
  <c r="F101" i="2"/>
  <c r="F100" i="2"/>
  <c r="F65" i="2"/>
  <c r="F64" i="2"/>
  <c r="F86" i="44" l="1"/>
  <c r="G86" i="44" s="1"/>
  <c r="D93" i="44"/>
  <c r="D83" i="44" s="1"/>
  <c r="C31" i="42"/>
  <c r="C33" i="42"/>
  <c r="C35" i="42"/>
  <c r="C37" i="42"/>
  <c r="C39" i="42"/>
  <c r="C41" i="42"/>
  <c r="C43" i="42"/>
  <c r="C32" i="42"/>
  <c r="C34" i="42"/>
  <c r="C36" i="42"/>
  <c r="C38" i="42"/>
  <c r="C40" i="42"/>
  <c r="C42" i="42"/>
  <c r="C44" i="42"/>
  <c r="C46" i="42"/>
  <c r="C48" i="42"/>
  <c r="C50" i="42"/>
  <c r="C52" i="42"/>
  <c r="C54" i="42"/>
  <c r="C56" i="42"/>
  <c r="C58" i="42"/>
  <c r="C60" i="42"/>
  <c r="C62" i="42"/>
  <c r="C64" i="42"/>
  <c r="C66" i="42"/>
  <c r="C68" i="42"/>
  <c r="C70" i="42"/>
  <c r="C72" i="42"/>
  <c r="C45" i="42"/>
  <c r="C47" i="42"/>
  <c r="C49" i="42"/>
  <c r="C51" i="42"/>
  <c r="C53" i="42"/>
  <c r="C55" i="42"/>
  <c r="C57" i="42"/>
  <c r="C59" i="42"/>
  <c r="C61" i="42"/>
  <c r="C63" i="42"/>
  <c r="C65" i="42"/>
  <c r="C67" i="42"/>
  <c r="C69" i="42"/>
  <c r="C71" i="42"/>
  <c r="F35" i="2"/>
  <c r="G225" i="2"/>
  <c r="H192" i="2"/>
  <c r="H212" i="2" s="1"/>
  <c r="G191" i="2"/>
  <c r="G54" i="2"/>
  <c r="H54" i="2"/>
  <c r="H75" i="2" s="1"/>
  <c r="F45" i="2"/>
  <c r="F28" i="2"/>
  <c r="D37" i="35"/>
  <c r="G214" i="2"/>
  <c r="G114" i="2"/>
  <c r="G77" i="2"/>
  <c r="F183" i="2" l="1"/>
  <c r="G11" i="42" s="1"/>
  <c r="F151" i="2"/>
  <c r="G11" i="46" s="1"/>
  <c r="F164" i="2"/>
  <c r="F130" i="2"/>
  <c r="C43" i="44" s="1"/>
  <c r="C88" i="44" s="1"/>
  <c r="F170" i="2"/>
  <c r="F171" i="2" s="1"/>
  <c r="F136" i="2"/>
  <c r="F137" i="2" s="1"/>
  <c r="F102" i="2"/>
  <c r="F103" i="2" s="1"/>
  <c r="F234" i="2"/>
  <c r="F235" i="2" s="1"/>
  <c r="F66" i="2"/>
  <c r="F67" i="2" s="1"/>
  <c r="F202" i="2"/>
  <c r="F203" i="2" s="1"/>
  <c r="F36" i="2"/>
  <c r="G242" i="2"/>
  <c r="C46" i="44" l="1"/>
  <c r="C89" i="44"/>
  <c r="R48" i="36"/>
  <c r="C90" i="44" l="1"/>
  <c r="C92" i="44" s="1"/>
  <c r="C93" i="44" s="1"/>
  <c r="C83" i="44" s="1"/>
  <c r="H127" i="2"/>
  <c r="H146" i="2" s="1"/>
  <c r="T48" i="36"/>
  <c r="E30" i="38" l="1"/>
  <c r="E12" i="38" l="1"/>
  <c r="D16" i="37"/>
  <c r="D8" i="37"/>
  <c r="D78" i="32"/>
  <c r="C78" i="32"/>
  <c r="A43" i="32"/>
  <c r="D12" i="2"/>
  <c r="B11" i="40" l="1"/>
  <c r="B15" i="40" s="1"/>
  <c r="B11" i="44"/>
  <c r="B15" i="44" s="1"/>
  <c r="D18" i="37"/>
  <c r="D19" i="37"/>
  <c r="C19" i="37"/>
  <c r="A41" i="29"/>
  <c r="E8" i="36" l="1"/>
  <c r="F8" i="36" s="1"/>
  <c r="A8" i="36"/>
  <c r="C67" i="36"/>
  <c r="B67" i="36"/>
  <c r="I68" i="36"/>
  <c r="I69" i="36" s="1"/>
  <c r="H68" i="36"/>
  <c r="B68" i="36" s="1"/>
  <c r="C50" i="36"/>
  <c r="O49" i="36"/>
  <c r="I70" i="36" l="1"/>
  <c r="C69" i="36"/>
  <c r="H69" i="36"/>
  <c r="C68" i="36"/>
  <c r="C49" i="36"/>
  <c r="I49" i="36" s="1"/>
  <c r="H70" i="36" l="1"/>
  <c r="B69" i="36"/>
  <c r="I71" i="36"/>
  <c r="C70" i="36"/>
  <c r="I72" i="36" l="1"/>
  <c r="C71" i="36"/>
  <c r="H71" i="36"/>
  <c r="B70" i="36"/>
  <c r="J49" i="36" l="1"/>
  <c r="H72" i="36"/>
  <c r="B71" i="36"/>
  <c r="I73" i="36"/>
  <c r="C72" i="36"/>
  <c r="G49" i="36" l="1"/>
  <c r="K49" i="36" s="1"/>
  <c r="D49" i="36"/>
  <c r="E49" i="36" s="1"/>
  <c r="J50" i="36"/>
  <c r="G50" i="36" s="1"/>
  <c r="I74" i="36"/>
  <c r="C73" i="36"/>
  <c r="H73" i="36"/>
  <c r="B72" i="36"/>
  <c r="O50" i="36" l="1"/>
  <c r="I50" i="36" s="1"/>
  <c r="B49" i="36"/>
  <c r="K50" i="36" s="1"/>
  <c r="P49" i="36"/>
  <c r="Q49" i="36" s="1"/>
  <c r="D50" i="36"/>
  <c r="J51" i="36"/>
  <c r="G51" i="36" s="1"/>
  <c r="H74" i="36"/>
  <c r="B73" i="36"/>
  <c r="I75" i="36"/>
  <c r="C74" i="36"/>
  <c r="L49" i="36" l="1"/>
  <c r="C51" i="36"/>
  <c r="B62" i="36"/>
  <c r="E50" i="36"/>
  <c r="B50" i="36" s="1"/>
  <c r="O51" i="36"/>
  <c r="J52" i="36"/>
  <c r="G52" i="36" s="1"/>
  <c r="D51" i="36"/>
  <c r="I76" i="36"/>
  <c r="C75" i="36"/>
  <c r="H75" i="36"/>
  <c r="B74" i="36"/>
  <c r="D62" i="35"/>
  <c r="R49" i="36" l="1"/>
  <c r="S49" i="36" s="1"/>
  <c r="T49" i="36" s="1"/>
  <c r="M49" i="36" s="1"/>
  <c r="N49" i="36" s="1"/>
  <c r="U49" i="36"/>
  <c r="I51" i="36"/>
  <c r="P50" i="36"/>
  <c r="Q50" i="36" s="1"/>
  <c r="C52" i="36"/>
  <c r="K51" i="36"/>
  <c r="O52" i="36" s="1"/>
  <c r="E51" i="36"/>
  <c r="D52" i="36"/>
  <c r="J53" i="36"/>
  <c r="G53" i="36" s="1"/>
  <c r="H76" i="36"/>
  <c r="B75" i="36"/>
  <c r="I77" i="36"/>
  <c r="C76" i="36"/>
  <c r="F54" i="35"/>
  <c r="F57" i="35"/>
  <c r="C70" i="35" s="1"/>
  <c r="F55" i="35"/>
  <c r="F53" i="35"/>
  <c r="V49" i="36" l="1"/>
  <c r="L50" i="36"/>
  <c r="U50" i="36" s="1"/>
  <c r="I52" i="36"/>
  <c r="P51" i="36"/>
  <c r="Q51" i="36" s="1"/>
  <c r="B51" i="36"/>
  <c r="K52" i="36" s="1"/>
  <c r="O53" i="36" s="1"/>
  <c r="J54" i="36"/>
  <c r="G54" i="36" s="1"/>
  <c r="D53" i="36"/>
  <c r="I78" i="36"/>
  <c r="C77" i="36"/>
  <c r="J55" i="36" s="1"/>
  <c r="G55" i="36" s="1"/>
  <c r="H77" i="36"/>
  <c r="B76" i="36"/>
  <c r="C69" i="35"/>
  <c r="C68" i="35"/>
  <c r="R50" i="36" l="1"/>
  <c r="S50" i="36" s="1"/>
  <c r="T50" i="36" s="1"/>
  <c r="M50" i="36" s="1"/>
  <c r="N50" i="36" s="1"/>
  <c r="L51" i="36" s="1"/>
  <c r="C53" i="36"/>
  <c r="I53" i="36" s="1"/>
  <c r="E52" i="36"/>
  <c r="B52" i="36" s="1"/>
  <c r="K53" i="36" s="1"/>
  <c r="O54" i="36" s="1"/>
  <c r="D54" i="36"/>
  <c r="H78" i="36"/>
  <c r="B77" i="36"/>
  <c r="D55" i="36" s="1"/>
  <c r="I79" i="36"/>
  <c r="C78" i="36"/>
  <c r="J56" i="36" s="1"/>
  <c r="G56" i="36" s="1"/>
  <c r="H5" i="35"/>
  <c r="V50" i="36" l="1"/>
  <c r="R51" i="36"/>
  <c r="S51" i="36" s="1"/>
  <c r="T51" i="36" s="1"/>
  <c r="M51" i="36" s="1"/>
  <c r="N51" i="36" s="1"/>
  <c r="U51" i="36"/>
  <c r="P52" i="36"/>
  <c r="Q52" i="36" s="1"/>
  <c r="C54" i="36"/>
  <c r="I54" i="36" s="1"/>
  <c r="E53" i="36"/>
  <c r="I80" i="36"/>
  <c r="C79" i="36"/>
  <c r="J57" i="36" s="1"/>
  <c r="G57" i="36" s="1"/>
  <c r="H79" i="36"/>
  <c r="B78" i="36"/>
  <c r="D56" i="36" s="1"/>
  <c r="F56" i="35"/>
  <c r="F58" i="35" s="1"/>
  <c r="C18" i="31"/>
  <c r="D18" i="31"/>
  <c r="E18" i="31"/>
  <c r="F18" i="31"/>
  <c r="G18" i="31"/>
  <c r="B18" i="31"/>
  <c r="L52" i="36" l="1"/>
  <c r="U52" i="36" s="1"/>
  <c r="V51" i="36"/>
  <c r="B53" i="36"/>
  <c r="P53" i="36"/>
  <c r="Q53" i="36" s="1"/>
  <c r="H80" i="36"/>
  <c r="B79" i="36"/>
  <c r="D57" i="36" s="1"/>
  <c r="I81" i="36"/>
  <c r="C80" i="36"/>
  <c r="J58" i="36" s="1"/>
  <c r="G58" i="36" s="1"/>
  <c r="C71" i="35"/>
  <c r="C72" i="35" s="1"/>
  <c r="I8" i="35" s="1"/>
  <c r="A9" i="35"/>
  <c r="C62" i="35"/>
  <c r="E62" i="35" s="1"/>
  <c r="G20" i="32"/>
  <c r="I7" i="33"/>
  <c r="J7" i="33"/>
  <c r="K7" i="33"/>
  <c r="L7" i="33"/>
  <c r="H7" i="33"/>
  <c r="C14" i="44"/>
  <c r="B79" i="32"/>
  <c r="R52" i="36" l="1"/>
  <c r="S52" i="36" s="1"/>
  <c r="D14" i="44"/>
  <c r="C14" i="40"/>
  <c r="K54" i="36"/>
  <c r="E54" i="36"/>
  <c r="C55" i="36"/>
  <c r="I82" i="36"/>
  <c r="C81" i="36"/>
  <c r="H81" i="36"/>
  <c r="B80" i="36"/>
  <c r="D58" i="36" s="1"/>
  <c r="F217" i="2"/>
  <c r="F208" i="2"/>
  <c r="E208" i="2"/>
  <c r="D208" i="2"/>
  <c r="C208" i="2"/>
  <c r="B208" i="2"/>
  <c r="F196" i="2"/>
  <c r="E196" i="2"/>
  <c r="D196" i="2"/>
  <c r="C196" i="2"/>
  <c r="B196" i="2"/>
  <c r="L190" i="2"/>
  <c r="K190" i="2"/>
  <c r="J190" i="2"/>
  <c r="I190" i="2"/>
  <c r="H190" i="2"/>
  <c r="G190" i="2"/>
  <c r="B72" i="34"/>
  <c r="C72" i="34" s="1"/>
  <c r="B71" i="34"/>
  <c r="B70" i="34"/>
  <c r="C70" i="34" s="1"/>
  <c r="B69" i="34"/>
  <c r="B68" i="34"/>
  <c r="C68" i="34" s="1"/>
  <c r="B67" i="34"/>
  <c r="B66" i="34"/>
  <c r="C66" i="34" s="1"/>
  <c r="B65" i="34"/>
  <c r="B64" i="34"/>
  <c r="C64" i="34" s="1"/>
  <c r="B63" i="34"/>
  <c r="B62" i="34"/>
  <c r="C62" i="34" s="1"/>
  <c r="B61" i="34"/>
  <c r="B60" i="34"/>
  <c r="C60" i="34" s="1"/>
  <c r="B59" i="34"/>
  <c r="B58" i="34"/>
  <c r="C58" i="34" s="1"/>
  <c r="B57" i="34"/>
  <c r="B56" i="34"/>
  <c r="C56" i="34" s="1"/>
  <c r="B55" i="34"/>
  <c r="B54" i="34"/>
  <c r="C54" i="34" s="1"/>
  <c r="B53" i="34"/>
  <c r="B52" i="34"/>
  <c r="C52" i="34" s="1"/>
  <c r="B51" i="34"/>
  <c r="C50" i="34"/>
  <c r="B50" i="34"/>
  <c r="B49" i="34"/>
  <c r="B48" i="34"/>
  <c r="C48" i="34" s="1"/>
  <c r="B47" i="34"/>
  <c r="B46" i="34"/>
  <c r="C46" i="34" s="1"/>
  <c r="B45" i="34"/>
  <c r="B44" i="34"/>
  <c r="C44" i="34" s="1"/>
  <c r="B43" i="34"/>
  <c r="B42" i="34"/>
  <c r="C42" i="34" s="1"/>
  <c r="B41" i="34"/>
  <c r="B40" i="34"/>
  <c r="C40" i="34" s="1"/>
  <c r="B39" i="34"/>
  <c r="B38" i="34"/>
  <c r="C38" i="34" s="1"/>
  <c r="B37" i="34"/>
  <c r="B36" i="34"/>
  <c r="C36" i="34" s="1"/>
  <c r="B35" i="34"/>
  <c r="B34" i="34"/>
  <c r="C34" i="34" s="1"/>
  <c r="B33" i="34"/>
  <c r="B32" i="34"/>
  <c r="C32" i="34" s="1"/>
  <c r="B31" i="34"/>
  <c r="B30" i="34"/>
  <c r="C30" i="34" s="1"/>
  <c r="B29" i="34"/>
  <c r="C29" i="34" s="1"/>
  <c r="B28" i="34"/>
  <c r="C28" i="34" s="1"/>
  <c r="B27" i="34"/>
  <c r="C27" i="34" s="1"/>
  <c r="B26" i="34"/>
  <c r="C26" i="34" s="1"/>
  <c r="B25" i="34"/>
  <c r="C25" i="34" s="1"/>
  <c r="B24" i="34"/>
  <c r="C24" i="34" s="1"/>
  <c r="B23" i="34"/>
  <c r="C23" i="34" s="1"/>
  <c r="B22" i="34"/>
  <c r="C22" i="34" s="1"/>
  <c r="B21" i="34"/>
  <c r="C21" i="34" s="1"/>
  <c r="B20" i="34"/>
  <c r="C20" i="34" s="1"/>
  <c r="B19" i="34"/>
  <c r="C19" i="34" s="1"/>
  <c r="B18" i="34"/>
  <c r="C18" i="34" s="1"/>
  <c r="B17" i="34"/>
  <c r="C17" i="34" s="1"/>
  <c r="B16" i="34"/>
  <c r="C16" i="34" s="1"/>
  <c r="B15" i="34"/>
  <c r="C15" i="34" s="1"/>
  <c r="B14" i="34"/>
  <c r="C14" i="34" s="1"/>
  <c r="B13" i="34"/>
  <c r="C13" i="34" s="1"/>
  <c r="B12" i="34"/>
  <c r="C12" i="34" s="1"/>
  <c r="B11" i="34"/>
  <c r="C11" i="34" s="1"/>
  <c r="B75" i="32"/>
  <c r="C75" i="32" s="1"/>
  <c r="D75" i="32" s="1"/>
  <c r="E75" i="32" s="1"/>
  <c r="F75" i="32" s="1"/>
  <c r="G75" i="32" s="1"/>
  <c r="G57" i="32"/>
  <c r="F57" i="32"/>
  <c r="E57" i="32"/>
  <c r="D57" i="32"/>
  <c r="C57" i="32"/>
  <c r="B57" i="32"/>
  <c r="A32" i="32"/>
  <c r="A16" i="32"/>
  <c r="A15" i="32"/>
  <c r="D14" i="32"/>
  <c r="C14" i="32"/>
  <c r="B14" i="32"/>
  <c r="A14" i="32"/>
  <c r="G13" i="32"/>
  <c r="F13" i="32"/>
  <c r="E13" i="32"/>
  <c r="D13" i="32"/>
  <c r="C13" i="32"/>
  <c r="B13" i="32"/>
  <c r="A13" i="32"/>
  <c r="G12" i="32"/>
  <c r="F12" i="32"/>
  <c r="E12" i="32"/>
  <c r="D12" i="32"/>
  <c r="C12" i="32"/>
  <c r="B12" i="32"/>
  <c r="A12" i="32"/>
  <c r="A11" i="32"/>
  <c r="A10" i="32"/>
  <c r="A9" i="32"/>
  <c r="A8" i="32"/>
  <c r="A7" i="32"/>
  <c r="G6" i="32"/>
  <c r="F6" i="32"/>
  <c r="E6" i="32"/>
  <c r="D6" i="32"/>
  <c r="C6" i="32"/>
  <c r="B6" i="32"/>
  <c r="A6" i="32"/>
  <c r="G5" i="32"/>
  <c r="L6" i="33" s="1"/>
  <c r="F5" i="32"/>
  <c r="K6" i="33" s="1"/>
  <c r="E5" i="32"/>
  <c r="J6" i="33" s="1"/>
  <c r="D5" i="32"/>
  <c r="I6" i="33" s="1"/>
  <c r="C5" i="32"/>
  <c r="H6" i="33" s="1"/>
  <c r="B5" i="32"/>
  <c r="G6" i="33" s="1"/>
  <c r="A5" i="32"/>
  <c r="A16" i="28"/>
  <c r="A15" i="28"/>
  <c r="A14" i="28"/>
  <c r="A13" i="28"/>
  <c r="A12" i="28"/>
  <c r="A11" i="28"/>
  <c r="A10" i="28"/>
  <c r="A9" i="28"/>
  <c r="A8" i="28"/>
  <c r="A7" i="28"/>
  <c r="A6" i="28"/>
  <c r="A5" i="28"/>
  <c r="A16" i="29"/>
  <c r="A6" i="29"/>
  <c r="A15" i="29"/>
  <c r="A14" i="29"/>
  <c r="A13" i="29"/>
  <c r="A12" i="29"/>
  <c r="A11" i="29"/>
  <c r="A10" i="29"/>
  <c r="T52" i="36" l="1"/>
  <c r="M52" i="36" s="1"/>
  <c r="N52" i="36" s="1"/>
  <c r="E14" i="44"/>
  <c r="D14" i="40"/>
  <c r="H193" i="2"/>
  <c r="H213" i="2" s="1"/>
  <c r="C40" i="32" s="1"/>
  <c r="B54" i="36"/>
  <c r="P54" i="36"/>
  <c r="Q54" i="36" s="1"/>
  <c r="O55" i="36"/>
  <c r="I55" i="36" s="1"/>
  <c r="H82" i="36"/>
  <c r="B81" i="36"/>
  <c r="I83" i="36"/>
  <c r="C82" i="36"/>
  <c r="G11" i="34"/>
  <c r="C31" i="34"/>
  <c r="C33" i="34"/>
  <c r="C35" i="34"/>
  <c r="C37" i="34"/>
  <c r="C39" i="34"/>
  <c r="C41" i="34"/>
  <c r="C43" i="34"/>
  <c r="C45" i="34"/>
  <c r="C47" i="34"/>
  <c r="C49" i="34"/>
  <c r="C51" i="34"/>
  <c r="C53" i="34"/>
  <c r="C55" i="34"/>
  <c r="C57" i="34"/>
  <c r="C59" i="34"/>
  <c r="C61" i="34"/>
  <c r="C63" i="34"/>
  <c r="C65" i="34"/>
  <c r="C67" i="34"/>
  <c r="C69" i="34"/>
  <c r="C71" i="34"/>
  <c r="C9" i="31"/>
  <c r="C11" i="31" s="1"/>
  <c r="D9" i="31"/>
  <c r="D11" i="31" s="1"/>
  <c r="E9" i="31"/>
  <c r="E11" i="31" s="1"/>
  <c r="F9" i="31"/>
  <c r="F11" i="31" s="1"/>
  <c r="G9" i="31"/>
  <c r="G11" i="31" s="1"/>
  <c r="B9" i="31"/>
  <c r="B11" i="31" s="1"/>
  <c r="G19" i="1"/>
  <c r="F19" i="1"/>
  <c r="E19" i="1"/>
  <c r="D19" i="1"/>
  <c r="C19" i="1"/>
  <c r="B19" i="1"/>
  <c r="A8" i="29"/>
  <c r="A9" i="29"/>
  <c r="A7" i="29"/>
  <c r="G9" i="1"/>
  <c r="F9" i="1"/>
  <c r="E9" i="1"/>
  <c r="D9" i="1"/>
  <c r="C9" i="1"/>
  <c r="B9" i="1"/>
  <c r="C9" i="32" l="1"/>
  <c r="C9" i="44"/>
  <c r="C9" i="40"/>
  <c r="D9" i="32"/>
  <c r="D9" i="44"/>
  <c r="D9" i="40"/>
  <c r="B9" i="32"/>
  <c r="B9" i="44"/>
  <c r="B9" i="40"/>
  <c r="F9" i="32"/>
  <c r="F9" i="44"/>
  <c r="F9" i="40"/>
  <c r="G9" i="32"/>
  <c r="G9" i="44"/>
  <c r="G9" i="40"/>
  <c r="E9" i="32"/>
  <c r="E9" i="44"/>
  <c r="E9" i="40"/>
  <c r="L53" i="36"/>
  <c r="U53" i="36" s="1"/>
  <c r="V52" i="36"/>
  <c r="F14" i="44"/>
  <c r="E14" i="40"/>
  <c r="E14" i="32"/>
  <c r="E55" i="36"/>
  <c r="K55" i="36"/>
  <c r="O56" i="36" s="1"/>
  <c r="C56" i="36"/>
  <c r="I84" i="36"/>
  <c r="C83" i="36"/>
  <c r="H83" i="36"/>
  <c r="B82" i="36"/>
  <c r="R53" i="36" l="1"/>
  <c r="S53" i="36" s="1"/>
  <c r="T53" i="36" s="1"/>
  <c r="M53" i="36" s="1"/>
  <c r="N53" i="36" s="1"/>
  <c r="G14" i="44"/>
  <c r="F14" i="40"/>
  <c r="F14" i="32"/>
  <c r="I56" i="36"/>
  <c r="B55" i="36"/>
  <c r="P55" i="36"/>
  <c r="Q55" i="36" s="1"/>
  <c r="H84" i="36"/>
  <c r="B83" i="36"/>
  <c r="I85" i="36"/>
  <c r="C84" i="36"/>
  <c r="L54" i="36" l="1"/>
  <c r="U54" i="36" s="1"/>
  <c r="V53" i="36"/>
  <c r="G14" i="40"/>
  <c r="G14" i="32"/>
  <c r="C57" i="36"/>
  <c r="E56" i="36"/>
  <c r="B56" i="36" s="1"/>
  <c r="K56" i="36"/>
  <c r="O57" i="36" s="1"/>
  <c r="I86" i="36"/>
  <c r="C86" i="36" s="1"/>
  <c r="C85" i="36"/>
  <c r="H85" i="36"/>
  <c r="B84" i="36"/>
  <c r="C14" i="28"/>
  <c r="D14" i="28"/>
  <c r="E14" i="28"/>
  <c r="F14" i="28"/>
  <c r="G14" i="28"/>
  <c r="B14" i="28"/>
  <c r="C12" i="28"/>
  <c r="D12" i="28"/>
  <c r="E12" i="28"/>
  <c r="F12" i="28"/>
  <c r="G12" i="28"/>
  <c r="B12" i="28"/>
  <c r="C14" i="29"/>
  <c r="D14" i="29"/>
  <c r="E14" i="29"/>
  <c r="F14" i="29"/>
  <c r="G14" i="29"/>
  <c r="B14" i="29"/>
  <c r="C12" i="29"/>
  <c r="D12" i="29"/>
  <c r="E12" i="29"/>
  <c r="F12" i="29"/>
  <c r="G12" i="29"/>
  <c r="B12" i="29"/>
  <c r="C14" i="1"/>
  <c r="D14" i="1"/>
  <c r="E14" i="1"/>
  <c r="F14" i="1"/>
  <c r="G14" i="1"/>
  <c r="B14" i="1"/>
  <c r="C12" i="1"/>
  <c r="D12" i="1"/>
  <c r="E12" i="1"/>
  <c r="F12" i="1"/>
  <c r="G12" i="1"/>
  <c r="B12" i="1"/>
  <c r="R54" i="36" l="1"/>
  <c r="S54" i="36" s="1"/>
  <c r="T54" i="36" s="1"/>
  <c r="M54" i="36" s="1"/>
  <c r="N54" i="36" s="1"/>
  <c r="I57" i="36"/>
  <c r="P56" i="36"/>
  <c r="Q56" i="36" s="1"/>
  <c r="C58" i="36"/>
  <c r="K57" i="36"/>
  <c r="O58" i="36" s="1"/>
  <c r="E57" i="36"/>
  <c r="H86" i="36"/>
  <c r="B86" i="36" s="1"/>
  <c r="B85" i="36"/>
  <c r="C11" i="44"/>
  <c r="C15" i="44" s="1"/>
  <c r="B11" i="32"/>
  <c r="B15" i="32" s="1"/>
  <c r="B11" i="1"/>
  <c r="B11" i="29"/>
  <c r="B11" i="28"/>
  <c r="I7" i="30"/>
  <c r="J7" i="30"/>
  <c r="K7" i="30"/>
  <c r="L7" i="30"/>
  <c r="H7" i="30"/>
  <c r="B81" i="29"/>
  <c r="B76" i="29"/>
  <c r="C76" i="29" s="1"/>
  <c r="D76" i="29" s="1"/>
  <c r="G58" i="29"/>
  <c r="F58" i="29"/>
  <c r="E58" i="29"/>
  <c r="D58" i="29"/>
  <c r="C58" i="29"/>
  <c r="B58" i="29"/>
  <c r="A33" i="29"/>
  <c r="G13" i="29"/>
  <c r="F13" i="29"/>
  <c r="E13" i="29"/>
  <c r="D13" i="29"/>
  <c r="C13" i="29"/>
  <c r="B13" i="29"/>
  <c r="F9" i="29"/>
  <c r="E9" i="29"/>
  <c r="D9" i="29"/>
  <c r="C9" i="29"/>
  <c r="B9" i="29"/>
  <c r="G6" i="29"/>
  <c r="F6" i="29"/>
  <c r="E6" i="29"/>
  <c r="D6" i="29"/>
  <c r="C6" i="29"/>
  <c r="B6" i="29"/>
  <c r="G5" i="29"/>
  <c r="F5" i="29"/>
  <c r="E5" i="29"/>
  <c r="D5" i="29"/>
  <c r="C5" i="29"/>
  <c r="B5" i="29"/>
  <c r="E76" i="29" l="1"/>
  <c r="F76" i="29" s="1"/>
  <c r="G76" i="29" s="1"/>
  <c r="L55" i="36"/>
  <c r="U55" i="36" s="1"/>
  <c r="V54" i="36"/>
  <c r="C11" i="28"/>
  <c r="C11" i="40"/>
  <c r="C15" i="40" s="1"/>
  <c r="D28" i="28"/>
  <c r="D37" i="28" s="1"/>
  <c r="E28" i="28"/>
  <c r="E37" i="28" s="1"/>
  <c r="F28" i="28"/>
  <c r="F37" i="28" s="1"/>
  <c r="C28" i="28"/>
  <c r="C37" i="28" s="1"/>
  <c r="G28" i="28"/>
  <c r="G37" i="28" s="1"/>
  <c r="I58" i="36"/>
  <c r="B57" i="36"/>
  <c r="P57" i="36"/>
  <c r="Q57" i="36" s="1"/>
  <c r="C11" i="32"/>
  <c r="C15" i="32" s="1"/>
  <c r="C11" i="1"/>
  <c r="C11" i="29"/>
  <c r="C15" i="29" s="1"/>
  <c r="G6" i="30"/>
  <c r="I6" i="30"/>
  <c r="B15" i="29"/>
  <c r="J6" i="30"/>
  <c r="K6" i="30"/>
  <c r="H6" i="30"/>
  <c r="L6" i="30"/>
  <c r="C9" i="28"/>
  <c r="D9" i="28"/>
  <c r="E9" i="28"/>
  <c r="F9" i="28"/>
  <c r="B9" i="28"/>
  <c r="B60" i="28"/>
  <c r="C60" i="28" s="1"/>
  <c r="B110" i="1"/>
  <c r="B63" i="28"/>
  <c r="G42" i="28"/>
  <c r="F42" i="28"/>
  <c r="E42" i="28"/>
  <c r="D42" i="28"/>
  <c r="C42" i="28"/>
  <c r="B42" i="28"/>
  <c r="A20" i="28"/>
  <c r="G13" i="28"/>
  <c r="F13" i="28"/>
  <c r="E13" i="28"/>
  <c r="D13" i="28"/>
  <c r="C13" i="28"/>
  <c r="B13" i="28"/>
  <c r="B15" i="28" s="1"/>
  <c r="G6" i="28"/>
  <c r="F6" i="28"/>
  <c r="E6" i="28"/>
  <c r="D6" i="28"/>
  <c r="C6" i="28"/>
  <c r="B6" i="28"/>
  <c r="G5" i="28"/>
  <c r="L6" i="10" s="1"/>
  <c r="F5" i="28"/>
  <c r="K6" i="10" s="1"/>
  <c r="E5" i="28"/>
  <c r="J6" i="10" s="1"/>
  <c r="D5" i="28"/>
  <c r="I6" i="10" s="1"/>
  <c r="C5" i="28"/>
  <c r="H6" i="10" s="1"/>
  <c r="B5" i="28"/>
  <c r="G6" i="10" s="1"/>
  <c r="C15" i="28" l="1"/>
  <c r="R55" i="36"/>
  <c r="S55" i="36" s="1"/>
  <c r="T55" i="36" s="1"/>
  <c r="M55" i="36" s="1"/>
  <c r="N55" i="36" s="1"/>
  <c r="D11" i="40"/>
  <c r="D15" i="40" s="1"/>
  <c r="D11" i="44"/>
  <c r="D15" i="44" s="1"/>
  <c r="K58" i="36"/>
  <c r="E58" i="36"/>
  <c r="D11" i="28"/>
  <c r="D15" i="28" s="1"/>
  <c r="D11" i="32"/>
  <c r="D15" i="32" s="1"/>
  <c r="D11" i="29"/>
  <c r="D15" i="29" s="1"/>
  <c r="D11" i="1"/>
  <c r="D60" i="28"/>
  <c r="L56" i="36" l="1"/>
  <c r="U56" i="36" s="1"/>
  <c r="V55" i="36"/>
  <c r="E11" i="40"/>
  <c r="E15" i="40" s="1"/>
  <c r="E11" i="44"/>
  <c r="E15" i="44" s="1"/>
  <c r="B58" i="36"/>
  <c r="P58" i="36"/>
  <c r="Q58" i="36" s="1"/>
  <c r="E11" i="28"/>
  <c r="E15" i="28" s="1"/>
  <c r="E11" i="1"/>
  <c r="E11" i="32"/>
  <c r="E15" i="32" s="1"/>
  <c r="E11" i="29"/>
  <c r="E15" i="29" s="1"/>
  <c r="E60" i="28"/>
  <c r="R56" i="36" l="1"/>
  <c r="S56" i="36" s="1"/>
  <c r="T56" i="36" s="1"/>
  <c r="M56" i="36" s="1"/>
  <c r="N56" i="36" s="1"/>
  <c r="F11" i="40"/>
  <c r="F15" i="40" s="1"/>
  <c r="F11" i="44"/>
  <c r="F15" i="44" s="1"/>
  <c r="B60" i="36"/>
  <c r="B59" i="36"/>
  <c r="C61" i="36" s="1"/>
  <c r="F11" i="28"/>
  <c r="F15" i="28" s="1"/>
  <c r="F11" i="32"/>
  <c r="F15" i="32" s="1"/>
  <c r="F11" i="1"/>
  <c r="F11" i="29"/>
  <c r="F15" i="29" s="1"/>
  <c r="F60" i="28"/>
  <c r="L57" i="36" l="1"/>
  <c r="U57" i="36" s="1"/>
  <c r="V56" i="36"/>
  <c r="G11" i="40"/>
  <c r="G15" i="40" s="1"/>
  <c r="G11" i="44"/>
  <c r="G15" i="44" s="1"/>
  <c r="G11" i="29"/>
  <c r="G15" i="29" s="1"/>
  <c r="G11" i="1"/>
  <c r="G11" i="28"/>
  <c r="G15" i="28" s="1"/>
  <c r="G11" i="32"/>
  <c r="G15" i="32" s="1"/>
  <c r="G60" i="28"/>
  <c r="R57" i="36" l="1"/>
  <c r="S57" i="36" s="1"/>
  <c r="T57" i="36" s="1"/>
  <c r="M57" i="36" s="1"/>
  <c r="N57" i="36" s="1"/>
  <c r="A42" i="1"/>
  <c r="L58" i="36" l="1"/>
  <c r="U58" i="36" s="1"/>
  <c r="V57" i="36"/>
  <c r="C13" i="1"/>
  <c r="C15" i="1" s="1"/>
  <c r="D13" i="1"/>
  <c r="D15" i="1" s="1"/>
  <c r="E13" i="1"/>
  <c r="E15" i="1" s="1"/>
  <c r="F13" i="1"/>
  <c r="F15" i="1" s="1"/>
  <c r="G13" i="1"/>
  <c r="G15" i="1" s="1"/>
  <c r="B13" i="1"/>
  <c r="B15" i="1" s="1"/>
  <c r="B36" i="16"/>
  <c r="C36" i="16" s="1"/>
  <c r="D36" i="16" s="1"/>
  <c r="E36" i="16" s="1"/>
  <c r="F36" i="16" s="1"/>
  <c r="G36" i="16" s="1"/>
  <c r="R58" i="36" l="1"/>
  <c r="G9" i="29"/>
  <c r="G9" i="28"/>
  <c r="S58" i="36" l="1"/>
  <c r="T58" i="36" s="1"/>
  <c r="M58" i="36" s="1"/>
  <c r="N58" i="36" s="1"/>
  <c r="A75" i="2"/>
  <c r="C111" i="1"/>
  <c r="N60" i="36" l="1"/>
  <c r="V58" i="36"/>
  <c r="N59" i="36"/>
  <c r="B70" i="2"/>
  <c r="C70" i="2"/>
  <c r="D70" i="2"/>
  <c r="E70" i="2"/>
  <c r="F70" i="2"/>
  <c r="B72" i="24" l="1"/>
  <c r="B71" i="24"/>
  <c r="B70" i="24"/>
  <c r="B69" i="24"/>
  <c r="B68" i="24"/>
  <c r="B67" i="24"/>
  <c r="B66" i="24"/>
  <c r="B65" i="24"/>
  <c r="B64" i="24"/>
  <c r="B63" i="24"/>
  <c r="B62" i="24"/>
  <c r="B61" i="24"/>
  <c r="B60" i="24"/>
  <c r="B59" i="24"/>
  <c r="B58" i="24"/>
  <c r="B57" i="24"/>
  <c r="B56" i="24"/>
  <c r="B55" i="24"/>
  <c r="B54" i="24"/>
  <c r="B53" i="24"/>
  <c r="B52" i="24"/>
  <c r="B51" i="24"/>
  <c r="B50" i="24"/>
  <c r="B49" i="24"/>
  <c r="B48" i="24"/>
  <c r="B47" i="24"/>
  <c r="B46" i="24"/>
  <c r="B45" i="24"/>
  <c r="B44" i="24"/>
  <c r="B43" i="24"/>
  <c r="B42" i="24"/>
  <c r="B41" i="24"/>
  <c r="B40" i="24"/>
  <c r="B39" i="24"/>
  <c r="B38" i="24"/>
  <c r="B37" i="24"/>
  <c r="B36" i="24"/>
  <c r="B35" i="24"/>
  <c r="B34" i="24"/>
  <c r="C34" i="24" s="1"/>
  <c r="B33" i="24"/>
  <c r="C33" i="24" s="1"/>
  <c r="B32" i="24"/>
  <c r="C32" i="24" s="1"/>
  <c r="B31" i="24"/>
  <c r="C31" i="24" s="1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F117" i="2"/>
  <c r="F106" i="2"/>
  <c r="E106" i="2"/>
  <c r="D106" i="2"/>
  <c r="C106" i="2"/>
  <c r="B106" i="2"/>
  <c r="F96" i="2"/>
  <c r="E96" i="2"/>
  <c r="D96" i="2"/>
  <c r="C96" i="2"/>
  <c r="B96" i="2"/>
  <c r="L90" i="2"/>
  <c r="K90" i="2"/>
  <c r="J90" i="2"/>
  <c r="I90" i="2"/>
  <c r="H90" i="2"/>
  <c r="G90" i="2"/>
  <c r="H109" i="2" l="1"/>
  <c r="H92" i="2"/>
  <c r="G11" i="24"/>
  <c r="C11" i="24"/>
  <c r="C15" i="24"/>
  <c r="C16" i="24"/>
  <c r="C20" i="24"/>
  <c r="C23" i="24"/>
  <c r="C25" i="24"/>
  <c r="C26" i="24"/>
  <c r="C27" i="24"/>
  <c r="C30" i="24"/>
  <c r="C13" i="24"/>
  <c r="C17" i="24"/>
  <c r="C21" i="24"/>
  <c r="C24" i="24"/>
  <c r="C28" i="24"/>
  <c r="C12" i="24"/>
  <c r="C19" i="24"/>
  <c r="C14" i="24"/>
  <c r="C18" i="24"/>
  <c r="C22" i="24"/>
  <c r="C29" i="24"/>
  <c r="C35" i="24"/>
  <c r="C36" i="24"/>
  <c r="C37" i="24"/>
  <c r="C38" i="24"/>
  <c r="C39" i="24"/>
  <c r="C40" i="24"/>
  <c r="C41" i="24"/>
  <c r="C42" i="24"/>
  <c r="C43" i="24"/>
  <c r="C44" i="24"/>
  <c r="C45" i="24"/>
  <c r="C46" i="24"/>
  <c r="C47" i="24"/>
  <c r="C48" i="24"/>
  <c r="C49" i="24"/>
  <c r="C50" i="24"/>
  <c r="C51" i="24"/>
  <c r="C52" i="24"/>
  <c r="C53" i="24"/>
  <c r="C54" i="24"/>
  <c r="C55" i="24"/>
  <c r="C56" i="24"/>
  <c r="C57" i="24"/>
  <c r="C58" i="24"/>
  <c r="C59" i="24"/>
  <c r="C60" i="24"/>
  <c r="C61" i="24"/>
  <c r="C62" i="24"/>
  <c r="C63" i="24"/>
  <c r="C64" i="24"/>
  <c r="C65" i="24"/>
  <c r="C66" i="24"/>
  <c r="C67" i="24"/>
  <c r="C68" i="24"/>
  <c r="C69" i="24"/>
  <c r="C70" i="24"/>
  <c r="C71" i="24"/>
  <c r="C72" i="24"/>
  <c r="C79" i="1" l="1"/>
  <c r="C86" i="1" s="1"/>
  <c r="D79" i="1"/>
  <c r="D86" i="1" s="1"/>
  <c r="E79" i="1"/>
  <c r="E86" i="1" s="1"/>
  <c r="F79" i="1"/>
  <c r="F86" i="1" s="1"/>
  <c r="G79" i="1"/>
  <c r="G86" i="1" s="1"/>
  <c r="B79" i="1"/>
  <c r="B86" i="1" l="1"/>
  <c r="E94" i="1"/>
  <c r="F94" i="1"/>
  <c r="B94" i="1"/>
  <c r="D94" i="1"/>
  <c r="G94" i="1"/>
  <c r="C94" i="1"/>
  <c r="C110" i="1"/>
  <c r="B117" i="1"/>
  <c r="C116" i="1" l="1"/>
  <c r="C61" i="1" s="1"/>
  <c r="D110" i="1"/>
  <c r="D116" i="1" s="1"/>
  <c r="C118" i="1" l="1"/>
  <c r="D118" i="1"/>
  <c r="D61" i="1"/>
  <c r="E110" i="1"/>
  <c r="F110" i="1" l="1"/>
  <c r="G110" i="1" l="1"/>
  <c r="C6" i="1"/>
  <c r="D6" i="1"/>
  <c r="E6" i="1"/>
  <c r="F6" i="1"/>
  <c r="G6" i="1"/>
  <c r="B6" i="1"/>
  <c r="C5" i="1"/>
  <c r="H5" i="45" s="1"/>
  <c r="D5" i="1"/>
  <c r="I5" i="45" s="1"/>
  <c r="E5" i="1"/>
  <c r="J5" i="45" s="1"/>
  <c r="F5" i="1"/>
  <c r="K5" i="45" s="1"/>
  <c r="G5" i="1"/>
  <c r="L5" i="45" s="1"/>
  <c r="B5" i="1"/>
  <c r="G5" i="45" s="1"/>
  <c r="E26" i="1" l="1"/>
  <c r="E29" i="1" s="1"/>
  <c r="E21" i="1"/>
  <c r="E23" i="1" s="1"/>
  <c r="D26" i="1"/>
  <c r="D29" i="1" s="1"/>
  <c r="D21" i="1"/>
  <c r="D23" i="1" s="1"/>
  <c r="F26" i="1"/>
  <c r="F29" i="1" s="1"/>
  <c r="F21" i="1"/>
  <c r="F23" i="1" s="1"/>
  <c r="B26" i="1"/>
  <c r="B21" i="1"/>
  <c r="B23" i="1" s="1"/>
  <c r="B7" i="1" s="1"/>
  <c r="G26" i="1"/>
  <c r="G21" i="1"/>
  <c r="G23" i="1" s="1"/>
  <c r="C26" i="1"/>
  <c r="C29" i="1" s="1"/>
  <c r="C21" i="1"/>
  <c r="C23" i="1" s="1"/>
  <c r="F245" i="2"/>
  <c r="B238" i="2"/>
  <c r="C238" i="2"/>
  <c r="D238" i="2"/>
  <c r="E238" i="2"/>
  <c r="F238" i="2"/>
  <c r="B228" i="2"/>
  <c r="C228" i="2"/>
  <c r="D228" i="2"/>
  <c r="E228" i="2"/>
  <c r="F228" i="2"/>
  <c r="L25" i="2"/>
  <c r="K25" i="2"/>
  <c r="J25" i="2"/>
  <c r="I25" i="2"/>
  <c r="H25" i="2"/>
  <c r="G25" i="2"/>
  <c r="L52" i="2"/>
  <c r="K52" i="2"/>
  <c r="J52" i="2"/>
  <c r="I52" i="2"/>
  <c r="H52" i="2"/>
  <c r="G52" i="2"/>
  <c r="H224" i="2"/>
  <c r="I224" i="2"/>
  <c r="J224" i="2"/>
  <c r="K224" i="2"/>
  <c r="L224" i="2"/>
  <c r="G224" i="2"/>
  <c r="B72" i="13"/>
  <c r="C72" i="13" s="1"/>
  <c r="B71" i="13"/>
  <c r="C71" i="13" s="1"/>
  <c r="B70" i="13"/>
  <c r="C70" i="13" s="1"/>
  <c r="B69" i="13"/>
  <c r="C69" i="13" s="1"/>
  <c r="B68" i="13"/>
  <c r="C68" i="13" s="1"/>
  <c r="B67" i="13"/>
  <c r="C67" i="13" s="1"/>
  <c r="B66" i="13"/>
  <c r="C66" i="13" s="1"/>
  <c r="B65" i="13"/>
  <c r="C65" i="13" s="1"/>
  <c r="B64" i="13"/>
  <c r="C64" i="13" s="1"/>
  <c r="B63" i="13"/>
  <c r="C63" i="13" s="1"/>
  <c r="B62" i="13"/>
  <c r="C62" i="13" s="1"/>
  <c r="B61" i="13"/>
  <c r="C61" i="13" s="1"/>
  <c r="B60" i="13"/>
  <c r="C60" i="13" s="1"/>
  <c r="B59" i="13"/>
  <c r="C59" i="13" s="1"/>
  <c r="B58" i="13"/>
  <c r="C58" i="13" s="1"/>
  <c r="B57" i="13"/>
  <c r="C57" i="13" s="1"/>
  <c r="B56" i="13"/>
  <c r="C56" i="13" s="1"/>
  <c r="B55" i="13"/>
  <c r="C55" i="13" s="1"/>
  <c r="B54" i="13"/>
  <c r="C54" i="13" s="1"/>
  <c r="B53" i="13"/>
  <c r="B52" i="13"/>
  <c r="C52" i="13" s="1"/>
  <c r="B51" i="13"/>
  <c r="C51" i="13" s="1"/>
  <c r="B50" i="13"/>
  <c r="C50" i="13" s="1"/>
  <c r="B49" i="13"/>
  <c r="C49" i="13" s="1"/>
  <c r="B48" i="13"/>
  <c r="C48" i="13" s="1"/>
  <c r="B47" i="13"/>
  <c r="C47" i="13" s="1"/>
  <c r="B46" i="13"/>
  <c r="B45" i="13"/>
  <c r="C45" i="13" s="1"/>
  <c r="B44" i="13"/>
  <c r="C44" i="13" s="1"/>
  <c r="B43" i="13"/>
  <c r="C43" i="13" s="1"/>
  <c r="B42" i="13"/>
  <c r="C42" i="13" s="1"/>
  <c r="B41" i="13"/>
  <c r="C41" i="13" s="1"/>
  <c r="B40" i="13"/>
  <c r="C40" i="13" s="1"/>
  <c r="B39" i="13"/>
  <c r="C39" i="13" s="1"/>
  <c r="B38" i="13"/>
  <c r="C38" i="13" s="1"/>
  <c r="B37" i="13"/>
  <c r="C37" i="13" s="1"/>
  <c r="B36" i="13"/>
  <c r="C36" i="13" s="1"/>
  <c r="B35" i="13"/>
  <c r="C35" i="13" s="1"/>
  <c r="B34" i="13"/>
  <c r="C34" i="13" s="1"/>
  <c r="B33" i="13"/>
  <c r="C33" i="13" s="1"/>
  <c r="B32" i="13"/>
  <c r="C32" i="13" s="1"/>
  <c r="B31" i="13"/>
  <c r="C31" i="13" s="1"/>
  <c r="B30" i="13"/>
  <c r="C30" i="13" s="1"/>
  <c r="B29" i="13"/>
  <c r="C29" i="13" s="1"/>
  <c r="B28" i="13"/>
  <c r="C28" i="13" s="1"/>
  <c r="B27" i="13"/>
  <c r="C27" i="13" s="1"/>
  <c r="B26" i="13"/>
  <c r="C26" i="13" s="1"/>
  <c r="B25" i="13"/>
  <c r="C25" i="13" s="1"/>
  <c r="B24" i="13"/>
  <c r="C24" i="13" s="1"/>
  <c r="B23" i="13"/>
  <c r="C23" i="13" s="1"/>
  <c r="B22" i="13"/>
  <c r="C22" i="13" s="1"/>
  <c r="B21" i="13"/>
  <c r="B20" i="13"/>
  <c r="C20" i="13" s="1"/>
  <c r="B19" i="13"/>
  <c r="C19" i="13" s="1"/>
  <c r="B18" i="13"/>
  <c r="C18" i="13" s="1"/>
  <c r="B17" i="13"/>
  <c r="B16" i="13"/>
  <c r="C16" i="13" s="1"/>
  <c r="B15" i="13"/>
  <c r="C15" i="13" s="1"/>
  <c r="B14" i="13"/>
  <c r="C14" i="13" s="1"/>
  <c r="B13" i="13"/>
  <c r="C13" i="13" s="1"/>
  <c r="B12" i="13"/>
  <c r="C12" i="13" s="1"/>
  <c r="B11" i="13"/>
  <c r="C11" i="13" s="1"/>
  <c r="B91" i="1"/>
  <c r="B75" i="11"/>
  <c r="C75" i="11" s="1"/>
  <c r="B74" i="11"/>
  <c r="C74" i="11" s="1"/>
  <c r="B15" i="11"/>
  <c r="C15" i="11" s="1"/>
  <c r="B16" i="11"/>
  <c r="C16" i="11" s="1"/>
  <c r="B17" i="11"/>
  <c r="C17" i="11" s="1"/>
  <c r="B18" i="11"/>
  <c r="C18" i="11" s="1"/>
  <c r="B19" i="11"/>
  <c r="C19" i="11" s="1"/>
  <c r="B20" i="11"/>
  <c r="C20" i="11" s="1"/>
  <c r="B21" i="11"/>
  <c r="C21" i="11" s="1"/>
  <c r="B22" i="11"/>
  <c r="C22" i="11" s="1"/>
  <c r="B23" i="11"/>
  <c r="C23" i="11" s="1"/>
  <c r="B24" i="11"/>
  <c r="C24" i="11" s="1"/>
  <c r="B25" i="11"/>
  <c r="C25" i="11" s="1"/>
  <c r="B26" i="11"/>
  <c r="C26" i="11" s="1"/>
  <c r="B27" i="11"/>
  <c r="C27" i="11" s="1"/>
  <c r="B28" i="11"/>
  <c r="C28" i="11" s="1"/>
  <c r="B29" i="11"/>
  <c r="C29" i="11" s="1"/>
  <c r="B30" i="11"/>
  <c r="C30" i="11" s="1"/>
  <c r="B31" i="11"/>
  <c r="C31" i="11" s="1"/>
  <c r="B32" i="11"/>
  <c r="C32" i="11" s="1"/>
  <c r="B33" i="11"/>
  <c r="C33" i="11" s="1"/>
  <c r="B34" i="11"/>
  <c r="C34" i="11" s="1"/>
  <c r="B35" i="11"/>
  <c r="C35" i="11" s="1"/>
  <c r="B36" i="11"/>
  <c r="C36" i="11" s="1"/>
  <c r="B37" i="11"/>
  <c r="C37" i="11" s="1"/>
  <c r="B38" i="11"/>
  <c r="C38" i="11" s="1"/>
  <c r="B39" i="11"/>
  <c r="C39" i="11" s="1"/>
  <c r="B40" i="11"/>
  <c r="C40" i="11" s="1"/>
  <c r="B41" i="11"/>
  <c r="C41" i="11" s="1"/>
  <c r="B42" i="11"/>
  <c r="C42" i="11" s="1"/>
  <c r="B43" i="11"/>
  <c r="C43" i="11" s="1"/>
  <c r="B44" i="11"/>
  <c r="C44" i="11" s="1"/>
  <c r="B45" i="11"/>
  <c r="C45" i="11" s="1"/>
  <c r="B46" i="11"/>
  <c r="C46" i="11" s="1"/>
  <c r="B47" i="11"/>
  <c r="C47" i="11" s="1"/>
  <c r="B48" i="11"/>
  <c r="C48" i="11" s="1"/>
  <c r="B49" i="11"/>
  <c r="C49" i="11" s="1"/>
  <c r="B50" i="11"/>
  <c r="C50" i="11" s="1"/>
  <c r="B51" i="11"/>
  <c r="C51" i="11" s="1"/>
  <c r="B52" i="11"/>
  <c r="C52" i="11" s="1"/>
  <c r="B53" i="11"/>
  <c r="C53" i="11" s="1"/>
  <c r="B54" i="11"/>
  <c r="C54" i="11" s="1"/>
  <c r="B55" i="11"/>
  <c r="C55" i="11" s="1"/>
  <c r="B56" i="11"/>
  <c r="C56" i="11" s="1"/>
  <c r="B57" i="11"/>
  <c r="C57" i="11" s="1"/>
  <c r="B58" i="11"/>
  <c r="C58" i="11" s="1"/>
  <c r="B59" i="11"/>
  <c r="C59" i="11" s="1"/>
  <c r="B60" i="11"/>
  <c r="C60" i="11" s="1"/>
  <c r="B61" i="11"/>
  <c r="C61" i="11" s="1"/>
  <c r="B62" i="11"/>
  <c r="C62" i="11" s="1"/>
  <c r="B63" i="11"/>
  <c r="C63" i="11" s="1"/>
  <c r="B64" i="11"/>
  <c r="C64" i="11" s="1"/>
  <c r="B65" i="11"/>
  <c r="C65" i="11" s="1"/>
  <c r="B66" i="11"/>
  <c r="C66" i="11" s="1"/>
  <c r="B67" i="11"/>
  <c r="C67" i="11" s="1"/>
  <c r="B68" i="11"/>
  <c r="C68" i="11" s="1"/>
  <c r="B69" i="11"/>
  <c r="C69" i="11" s="1"/>
  <c r="B70" i="11"/>
  <c r="C70" i="11" s="1"/>
  <c r="B71" i="11"/>
  <c r="C71" i="11" s="1"/>
  <c r="B72" i="11"/>
  <c r="C72" i="11" s="1"/>
  <c r="B73" i="11"/>
  <c r="C73" i="11" s="1"/>
  <c r="B14" i="11"/>
  <c r="M14" i="11" s="1"/>
  <c r="C17" i="13"/>
  <c r="C21" i="13"/>
  <c r="C53" i="13"/>
  <c r="C46" i="13"/>
  <c r="D11" i="2"/>
  <c r="C91" i="1"/>
  <c r="D91" i="1"/>
  <c r="E91" i="1"/>
  <c r="F91" i="1"/>
  <c r="G91" i="1"/>
  <c r="H121" i="1"/>
  <c r="F81" i="2"/>
  <c r="C59" i="2"/>
  <c r="D59" i="2"/>
  <c r="E59" i="2"/>
  <c r="F59" i="2"/>
  <c r="B59" i="2"/>
  <c r="C33" i="1"/>
  <c r="D33" i="1"/>
  <c r="E33" i="1"/>
  <c r="F33" i="1"/>
  <c r="G33" i="1"/>
  <c r="B33" i="1"/>
  <c r="H5" i="4"/>
  <c r="I5" i="4"/>
  <c r="J5" i="4"/>
  <c r="K5" i="4"/>
  <c r="L5" i="4"/>
  <c r="G5" i="4"/>
  <c r="G38" i="32" l="1"/>
  <c r="G40" i="29"/>
  <c r="E38" i="32"/>
  <c r="E40" i="29"/>
  <c r="C38" i="32"/>
  <c r="C40" i="29"/>
  <c r="D38" i="32"/>
  <c r="D40" i="29"/>
  <c r="F38" i="32"/>
  <c r="F40" i="29"/>
  <c r="C45" i="44"/>
  <c r="H123" i="2"/>
  <c r="H51" i="2"/>
  <c r="D45" i="44"/>
  <c r="I123" i="2"/>
  <c r="I51" i="2"/>
  <c r="G45" i="44"/>
  <c r="L123" i="2"/>
  <c r="L51" i="2"/>
  <c r="F45" i="44"/>
  <c r="K51" i="2"/>
  <c r="K123" i="2"/>
  <c r="E45" i="44"/>
  <c r="J51" i="2"/>
  <c r="J123" i="2"/>
  <c r="B61" i="44"/>
  <c r="D11" i="46" s="1"/>
  <c r="B68" i="44"/>
  <c r="L6" i="4"/>
  <c r="H6" i="4"/>
  <c r="B7" i="40"/>
  <c r="B7" i="44"/>
  <c r="K6" i="4"/>
  <c r="J6" i="4"/>
  <c r="D13" i="2"/>
  <c r="B51" i="40"/>
  <c r="D11" i="42" s="1"/>
  <c r="E7" i="1"/>
  <c r="E60" i="1"/>
  <c r="C7" i="1"/>
  <c r="C60" i="1"/>
  <c r="D7" i="1"/>
  <c r="D60" i="1"/>
  <c r="F7" i="1"/>
  <c r="F60" i="1"/>
  <c r="G7" i="1"/>
  <c r="G60" i="1"/>
  <c r="P14" i="11"/>
  <c r="B57" i="29"/>
  <c r="B56" i="32"/>
  <c r="D11" i="34" s="1"/>
  <c r="G11" i="13"/>
  <c r="B41" i="28"/>
  <c r="D11" i="13" s="1"/>
  <c r="C14" i="11"/>
  <c r="H60" i="2"/>
  <c r="G29" i="1"/>
  <c r="I6" i="4"/>
  <c r="B93" i="1"/>
  <c r="J14" i="11" s="1"/>
  <c r="B78" i="1"/>
  <c r="G14" i="11" s="1"/>
  <c r="B85" i="1"/>
  <c r="D14" i="11" s="1"/>
  <c r="D34" i="1"/>
  <c r="F34" i="1"/>
  <c r="E34" i="1"/>
  <c r="C34" i="1"/>
  <c r="B34" i="1"/>
  <c r="G34" i="1"/>
  <c r="C58" i="1" l="1"/>
  <c r="C59" i="1" s="1"/>
  <c r="C7" i="40"/>
  <c r="C7" i="44"/>
  <c r="D7" i="40"/>
  <c r="D7" i="44"/>
  <c r="F7" i="40"/>
  <c r="F7" i="44"/>
  <c r="G7" i="40"/>
  <c r="G7" i="44"/>
  <c r="E7" i="40"/>
  <c r="E7" i="44"/>
  <c r="D11" i="24"/>
  <c r="F8" i="1"/>
  <c r="F8" i="44" s="1"/>
  <c r="D8" i="1"/>
  <c r="D8" i="44" s="1"/>
  <c r="E8" i="1"/>
  <c r="E8" i="44" s="1"/>
  <c r="G8" i="1"/>
  <c r="C8" i="1"/>
  <c r="C44" i="44" l="1"/>
  <c r="H126" i="2" s="1"/>
  <c r="H145" i="2" s="1"/>
  <c r="E10" i="44"/>
  <c r="E16" i="44" s="1"/>
  <c r="D10" i="44"/>
  <c r="D16" i="44" s="1"/>
  <c r="C8" i="40"/>
  <c r="C10" i="40" s="1"/>
  <c r="C16" i="40" s="1"/>
  <c r="C8" i="44"/>
  <c r="C10" i="44" s="1"/>
  <c r="C16" i="44" s="1"/>
  <c r="F10" i="44"/>
  <c r="F16" i="44" s="1"/>
  <c r="G8" i="40"/>
  <c r="G10" i="40" s="1"/>
  <c r="G16" i="40" s="1"/>
  <c r="G8" i="44"/>
  <c r="G10" i="44" s="1"/>
  <c r="G16" i="44" s="1"/>
  <c r="D8" i="32"/>
  <c r="D8" i="40"/>
  <c r="D10" i="40" s="1"/>
  <c r="D16" i="40" s="1"/>
  <c r="F8" i="32"/>
  <c r="F8" i="40"/>
  <c r="F10" i="40" s="1"/>
  <c r="F16" i="40" s="1"/>
  <c r="E8" i="32"/>
  <c r="E8" i="40"/>
  <c r="E10" i="40" s="1"/>
  <c r="E16" i="40" s="1"/>
  <c r="F7" i="29"/>
  <c r="F7" i="32"/>
  <c r="G24" i="2"/>
  <c r="G123" i="2" s="1"/>
  <c r="B7" i="32"/>
  <c r="D7" i="29"/>
  <c r="D7" i="32"/>
  <c r="C8" i="29"/>
  <c r="C8" i="32"/>
  <c r="H24" i="2"/>
  <c r="H157" i="2" s="1"/>
  <c r="C7" i="32"/>
  <c r="G8" i="29"/>
  <c r="G8" i="32"/>
  <c r="E7" i="29"/>
  <c r="E7" i="32"/>
  <c r="L24" i="2"/>
  <c r="L157" i="2" s="1"/>
  <c r="G7" i="32"/>
  <c r="K24" i="2"/>
  <c r="K157" i="2" s="1"/>
  <c r="J24" i="2"/>
  <c r="J157" i="2" s="1"/>
  <c r="I24" i="2"/>
  <c r="I157" i="2" s="1"/>
  <c r="B7" i="28"/>
  <c r="B7" i="29"/>
  <c r="E8" i="28"/>
  <c r="E8" i="29"/>
  <c r="F8" i="28"/>
  <c r="F8" i="29"/>
  <c r="F10" i="29" s="1"/>
  <c r="F16" i="29" s="1"/>
  <c r="G7" i="28"/>
  <c r="G7" i="29"/>
  <c r="C7" i="28"/>
  <c r="C7" i="29"/>
  <c r="D8" i="28"/>
  <c r="D8" i="29"/>
  <c r="G8" i="28"/>
  <c r="F113" i="1"/>
  <c r="F63" i="1" s="1"/>
  <c r="E7" i="28"/>
  <c r="E113" i="1"/>
  <c r="E63" i="1" s="1"/>
  <c r="D7" i="28"/>
  <c r="C8" i="28"/>
  <c r="G113" i="1"/>
  <c r="G63" i="1" s="1"/>
  <c r="F7" i="28"/>
  <c r="C113" i="1"/>
  <c r="D113" i="1"/>
  <c r="E10" i="1"/>
  <c r="E16" i="1" s="1"/>
  <c r="D10" i="1"/>
  <c r="D16" i="1" s="1"/>
  <c r="F10" i="1"/>
  <c r="F16" i="1" s="1"/>
  <c r="G10" i="1"/>
  <c r="G16" i="1" s="1"/>
  <c r="C10" i="1"/>
  <c r="C16" i="1" s="1"/>
  <c r="G10" i="29" l="1"/>
  <c r="G16" i="29" s="1"/>
  <c r="G135" i="2"/>
  <c r="G140" i="2"/>
  <c r="G122" i="2"/>
  <c r="E10" i="32"/>
  <c r="E16" i="32" s="1"/>
  <c r="D10" i="32"/>
  <c r="D16" i="32" s="1"/>
  <c r="G42" i="2"/>
  <c r="G157" i="2"/>
  <c r="G169" i="2" s="1"/>
  <c r="F10" i="32"/>
  <c r="F16" i="32" s="1"/>
  <c r="G189" i="2"/>
  <c r="G23" i="2"/>
  <c r="G10" i="32"/>
  <c r="G16" i="32" s="1"/>
  <c r="D10" i="29"/>
  <c r="D16" i="29" s="1"/>
  <c r="E10" i="29"/>
  <c r="E16" i="29" s="1"/>
  <c r="C10" i="29"/>
  <c r="C16" i="29" s="1"/>
  <c r="C10" i="32"/>
  <c r="C16" i="32" s="1"/>
  <c r="K89" i="2"/>
  <c r="K189" i="2"/>
  <c r="H89" i="2"/>
  <c r="H189" i="2"/>
  <c r="I89" i="2"/>
  <c r="I189" i="2"/>
  <c r="L89" i="2"/>
  <c r="L189" i="2"/>
  <c r="J89" i="2"/>
  <c r="J189" i="2"/>
  <c r="E10" i="28"/>
  <c r="E16" i="28" s="1"/>
  <c r="D10" i="28"/>
  <c r="D16" i="28" s="1"/>
  <c r="G10" i="28"/>
  <c r="G16" i="28" s="1"/>
  <c r="F10" i="28"/>
  <c r="F16" i="28" s="1"/>
  <c r="C10" i="28"/>
  <c r="C16" i="28" s="1"/>
  <c r="G39" i="2"/>
  <c r="H26" i="2" s="1"/>
  <c r="K223" i="2"/>
  <c r="G89" i="2"/>
  <c r="G101" i="2" s="1"/>
  <c r="L223" i="2"/>
  <c r="G51" i="2"/>
  <c r="G223" i="2"/>
  <c r="G241" i="2" s="1"/>
  <c r="G233" i="2" s="1"/>
  <c r="G73" i="2"/>
  <c r="G75" i="2"/>
  <c r="I223" i="2"/>
  <c r="J223" i="2"/>
  <c r="H223" i="2"/>
  <c r="G34" i="2" l="1"/>
  <c r="H42" i="2" s="1"/>
  <c r="G211" i="2"/>
  <c r="H144" i="2"/>
  <c r="G133" i="2"/>
  <c r="G134" i="2" s="1"/>
  <c r="G156" i="2"/>
  <c r="G174" i="2"/>
  <c r="G65" i="2"/>
  <c r="H241" i="2"/>
  <c r="G188" i="2"/>
  <c r="G201" i="2"/>
  <c r="H201" i="2" s="1"/>
  <c r="G88" i="2"/>
  <c r="G32" i="2"/>
  <c r="G33" i="2" s="1"/>
  <c r="G208" i="2"/>
  <c r="G205" i="2" s="1"/>
  <c r="G222" i="2"/>
  <c r="G106" i="2"/>
  <c r="H91" i="2" s="1"/>
  <c r="G238" i="2"/>
  <c r="H225" i="2" s="1"/>
  <c r="C62" i="28" s="1"/>
  <c r="E92" i="1"/>
  <c r="D92" i="1"/>
  <c r="G41" i="2"/>
  <c r="F92" i="1"/>
  <c r="G92" i="1"/>
  <c r="C92" i="1"/>
  <c r="H211" i="2" l="1"/>
  <c r="I201" i="2"/>
  <c r="I211" i="2"/>
  <c r="G167" i="2"/>
  <c r="G168" i="2" s="1"/>
  <c r="G231" i="2"/>
  <c r="G232" i="2" s="1"/>
  <c r="G199" i="2"/>
  <c r="G200" i="2" s="1"/>
  <c r="G99" i="2"/>
  <c r="G100" i="2" s="1"/>
  <c r="C77" i="32"/>
  <c r="C80" i="32" s="1"/>
  <c r="G210" i="2"/>
  <c r="C37" i="32"/>
  <c r="C39" i="32" s="1"/>
  <c r="H191" i="2" s="1"/>
  <c r="J201" i="2" l="1"/>
  <c r="J211" i="2"/>
  <c r="G110" i="2"/>
  <c r="C41" i="32"/>
  <c r="C64" i="28"/>
  <c r="C65" i="28" s="1"/>
  <c r="C57" i="28" s="1"/>
  <c r="G240" i="2"/>
  <c r="K201" i="2" l="1"/>
  <c r="K211" i="2"/>
  <c r="C81" i="32"/>
  <c r="C72" i="32" s="1"/>
  <c r="L201" i="2" l="1"/>
  <c r="L211" i="2"/>
  <c r="C82" i="32"/>
  <c r="C43" i="32" s="1"/>
  <c r="C53" i="32" s="1"/>
  <c r="C54" i="32" l="1"/>
  <c r="C112" i="1" l="1"/>
  <c r="C119" i="1" l="1"/>
  <c r="C120" i="1" s="1"/>
  <c r="C121" i="1" l="1"/>
  <c r="H58" i="2" s="1"/>
  <c r="C107" i="1"/>
  <c r="H83" i="2" l="1"/>
  <c r="H79" i="2"/>
  <c r="D119" i="1" l="1"/>
  <c r="D120" i="1" s="1"/>
  <c r="D121" i="1" s="1"/>
  <c r="D107" i="1" l="1"/>
  <c r="I83" i="2" s="1"/>
  <c r="I58" i="2"/>
  <c r="I79" i="2" s="1"/>
  <c r="L7" i="10" l="1"/>
  <c r="G39" i="28" l="1"/>
  <c r="G38" i="28"/>
  <c r="K7" i="10" l="1"/>
  <c r="J7" i="10"/>
  <c r="I7" i="10"/>
  <c r="H7" i="10"/>
  <c r="B29" i="1"/>
  <c r="B8" i="1" l="1"/>
  <c r="B8" i="44" s="1"/>
  <c r="B10" i="44" s="1"/>
  <c r="B16" i="44" s="1"/>
  <c r="C58" i="44"/>
  <c r="C59" i="44" s="1"/>
  <c r="B8" i="40"/>
  <c r="B10" i="40" s="1"/>
  <c r="B16" i="40" s="1"/>
  <c r="B49" i="40" s="1"/>
  <c r="B8" i="32"/>
  <c r="B10" i="32" s="1"/>
  <c r="B16" i="32" s="1"/>
  <c r="B54" i="32" s="1"/>
  <c r="F39" i="28"/>
  <c r="F38" i="28"/>
  <c r="D39" i="28"/>
  <c r="D38" i="28"/>
  <c r="C39" i="28"/>
  <c r="C38" i="28"/>
  <c r="E39" i="28"/>
  <c r="E38" i="28"/>
  <c r="B8" i="29"/>
  <c r="B10" i="29" s="1"/>
  <c r="B53" i="40" l="1"/>
  <c r="B54" i="40" s="1"/>
  <c r="B57" i="40" s="1"/>
  <c r="C51" i="40" s="1"/>
  <c r="B8" i="28"/>
  <c r="B10" i="28" s="1"/>
  <c r="B16" i="28" s="1"/>
  <c r="B38" i="28" s="1"/>
  <c r="B10" i="1"/>
  <c r="B16" i="1" s="1"/>
  <c r="B59" i="44"/>
  <c r="B70" i="44"/>
  <c r="B16" i="29"/>
  <c r="B55" i="29" s="1"/>
  <c r="B58" i="32"/>
  <c r="E11" i="34" s="1"/>
  <c r="H53" i="2"/>
  <c r="H74" i="2" s="1"/>
  <c r="B55" i="40" l="1"/>
  <c r="G163" i="2" s="1"/>
  <c r="E11" i="42"/>
  <c r="B92" i="1"/>
  <c r="B76" i="1"/>
  <c r="B87" i="1"/>
  <c r="B71" i="44"/>
  <c r="B72" i="44" s="1"/>
  <c r="B63" i="44"/>
  <c r="E11" i="46" s="1"/>
  <c r="D14" i="42"/>
  <c r="D18" i="42"/>
  <c r="D22" i="42"/>
  <c r="D15" i="42"/>
  <c r="D19" i="42"/>
  <c r="D23" i="42"/>
  <c r="D13" i="42"/>
  <c r="D17" i="42"/>
  <c r="D21" i="42"/>
  <c r="D12" i="42"/>
  <c r="D16" i="42"/>
  <c r="D20" i="42"/>
  <c r="G181" i="2"/>
  <c r="G164" i="2"/>
  <c r="B60" i="40" s="1"/>
  <c r="B59" i="32"/>
  <c r="B62" i="32" s="1"/>
  <c r="C56" i="32" s="1"/>
  <c r="F11" i="34"/>
  <c r="B59" i="29"/>
  <c r="B43" i="28"/>
  <c r="E11" i="13" s="1"/>
  <c r="B95" i="1"/>
  <c r="F11" i="42" l="1"/>
  <c r="E11" i="24"/>
  <c r="F11" i="24" s="1"/>
  <c r="B80" i="1"/>
  <c r="H14" i="11" s="1"/>
  <c r="I14" i="11" s="1"/>
  <c r="E14" i="11"/>
  <c r="F14" i="11" s="1"/>
  <c r="K14" i="11"/>
  <c r="B88" i="1"/>
  <c r="B89" i="1" s="1"/>
  <c r="G43" i="2" s="1"/>
  <c r="F11" i="46"/>
  <c r="B73" i="44"/>
  <c r="C68" i="44" s="1"/>
  <c r="C70" i="44" s="1"/>
  <c r="C71" i="44" s="1"/>
  <c r="C72" i="44" s="1"/>
  <c r="B64" i="44"/>
  <c r="B65" i="44" s="1"/>
  <c r="G129" i="2" s="1"/>
  <c r="G149" i="2" s="1"/>
  <c r="H161" i="2"/>
  <c r="H179" i="2" s="1"/>
  <c r="C34" i="40" s="1"/>
  <c r="G170" i="2"/>
  <c r="G171" i="2" s="1"/>
  <c r="G175" i="2" s="1"/>
  <c r="G182" i="2" s="1"/>
  <c r="H174" i="2"/>
  <c r="H160" i="2"/>
  <c r="H156" i="2"/>
  <c r="F11" i="13"/>
  <c r="B60" i="29"/>
  <c r="B61" i="29" s="1"/>
  <c r="G95" i="2" s="1"/>
  <c r="L14" i="11"/>
  <c r="B60" i="32"/>
  <c r="G195" i="2" s="1"/>
  <c r="G215" i="2" s="1"/>
  <c r="D13" i="34"/>
  <c r="D17" i="34"/>
  <c r="D21" i="34"/>
  <c r="D14" i="34"/>
  <c r="D18" i="34"/>
  <c r="D22" i="34"/>
  <c r="D15" i="34"/>
  <c r="D19" i="34"/>
  <c r="D23" i="34"/>
  <c r="D12" i="34"/>
  <c r="D16" i="34"/>
  <c r="D20" i="34"/>
  <c r="B44" i="28"/>
  <c r="B45" i="28" s="1"/>
  <c r="G227" i="2" s="1"/>
  <c r="C58" i="32"/>
  <c r="B96" i="1"/>
  <c r="B97" i="1" s="1"/>
  <c r="C93" i="1" s="1"/>
  <c r="B81" i="1"/>
  <c r="B82" i="1" s="1"/>
  <c r="G57" i="2" s="1"/>
  <c r="G27" i="2" l="1"/>
  <c r="G28" i="2" s="1"/>
  <c r="B76" i="44" s="1"/>
  <c r="B90" i="1"/>
  <c r="B48" i="28" s="1"/>
  <c r="G50" i="2"/>
  <c r="G59" i="2" s="1"/>
  <c r="G96" i="2"/>
  <c r="I109" i="2" s="1"/>
  <c r="C73" i="44"/>
  <c r="D68" i="44" s="1"/>
  <c r="D70" i="44" s="1"/>
  <c r="D71" i="44" s="1"/>
  <c r="D72" i="44" s="1"/>
  <c r="B67" i="44"/>
  <c r="C61" i="44" s="1"/>
  <c r="G183" i="2"/>
  <c r="H11" i="42"/>
  <c r="H178" i="2"/>
  <c r="C72" i="40"/>
  <c r="C74" i="40" s="1"/>
  <c r="C75" i="40" s="1"/>
  <c r="H167" i="2"/>
  <c r="H168" i="2" s="1"/>
  <c r="G115" i="2"/>
  <c r="B63" i="29"/>
  <c r="C57" i="29" s="1"/>
  <c r="C38" i="29"/>
  <c r="H111" i="2"/>
  <c r="G196" i="2"/>
  <c r="G202" i="2" s="1"/>
  <c r="G203" i="2" s="1"/>
  <c r="G209" i="2" s="1"/>
  <c r="G216" i="2" s="1"/>
  <c r="C59" i="32"/>
  <c r="C60" i="32" s="1"/>
  <c r="H195" i="2" s="1"/>
  <c r="H215" i="2" s="1"/>
  <c r="E15" i="34"/>
  <c r="E16" i="34"/>
  <c r="E21" i="34"/>
  <c r="E14" i="34"/>
  <c r="E18" i="34"/>
  <c r="E19" i="34"/>
  <c r="E20" i="34"/>
  <c r="E17" i="34"/>
  <c r="E23" i="34"/>
  <c r="E13" i="34"/>
  <c r="E12" i="34"/>
  <c r="E22" i="34"/>
  <c r="B47" i="28"/>
  <c r="C41" i="28" s="1"/>
  <c r="G243" i="2"/>
  <c r="G228" i="2"/>
  <c r="J15" i="11"/>
  <c r="J23" i="11"/>
  <c r="J26" i="11"/>
  <c r="J16" i="11"/>
  <c r="J22" i="11"/>
  <c r="C95" i="1"/>
  <c r="J17" i="11"/>
  <c r="J18" i="11"/>
  <c r="J20" i="11"/>
  <c r="J25" i="11"/>
  <c r="J24" i="11"/>
  <c r="J19" i="11"/>
  <c r="J21" i="11"/>
  <c r="G78" i="2"/>
  <c r="G70" i="2"/>
  <c r="B84" i="1"/>
  <c r="H39" i="2" l="1"/>
  <c r="B51" i="28"/>
  <c r="B64" i="29"/>
  <c r="B63" i="32"/>
  <c r="C85" i="1"/>
  <c r="C87" i="1" s="1"/>
  <c r="B58" i="40"/>
  <c r="B67" i="29"/>
  <c r="B100" i="1"/>
  <c r="H23" i="2"/>
  <c r="H32" i="2" s="1"/>
  <c r="H33" i="2" s="1"/>
  <c r="B61" i="40"/>
  <c r="B66" i="32"/>
  <c r="G35" i="2"/>
  <c r="G36" i="2" s="1"/>
  <c r="G40" i="2" s="1"/>
  <c r="G44" i="2" s="1"/>
  <c r="N14" i="11" s="1"/>
  <c r="O14" i="11" s="1"/>
  <c r="H88" i="2"/>
  <c r="I92" i="2"/>
  <c r="D13" i="46"/>
  <c r="D17" i="46"/>
  <c r="D21" i="46"/>
  <c r="D16" i="46"/>
  <c r="D14" i="46"/>
  <c r="D18" i="46"/>
  <c r="D22" i="46"/>
  <c r="D20" i="46"/>
  <c r="D15" i="46"/>
  <c r="D19" i="46"/>
  <c r="D23" i="46"/>
  <c r="D12" i="46"/>
  <c r="G102" i="2"/>
  <c r="G103" i="2" s="1"/>
  <c r="G107" i="2" s="1"/>
  <c r="G116" i="2" s="1"/>
  <c r="B66" i="29"/>
  <c r="C63" i="44"/>
  <c r="H106" i="2"/>
  <c r="G144" i="2"/>
  <c r="G130" i="2"/>
  <c r="D73" i="44"/>
  <c r="E68" i="44" s="1"/>
  <c r="E70" i="44" s="1"/>
  <c r="E71" i="44" s="1"/>
  <c r="E72" i="44" s="1"/>
  <c r="G63" i="2"/>
  <c r="G64" i="2" s="1"/>
  <c r="G66" i="2" s="1"/>
  <c r="G67" i="2" s="1"/>
  <c r="G71" i="2" s="1"/>
  <c r="G80" i="2" s="1"/>
  <c r="H176" i="2"/>
  <c r="H169" i="2" s="1"/>
  <c r="B63" i="40"/>
  <c r="G14" i="42"/>
  <c r="G18" i="42"/>
  <c r="G22" i="42"/>
  <c r="G16" i="42"/>
  <c r="G15" i="42"/>
  <c r="G19" i="42"/>
  <c r="G23" i="42"/>
  <c r="G13" i="42"/>
  <c r="G17" i="42"/>
  <c r="G21" i="42"/>
  <c r="G12" i="42"/>
  <c r="G20" i="42"/>
  <c r="D15" i="24"/>
  <c r="H222" i="2"/>
  <c r="G234" i="2"/>
  <c r="G235" i="2" s="1"/>
  <c r="G239" i="2" s="1"/>
  <c r="G244" i="2" s="1"/>
  <c r="G217" i="2"/>
  <c r="B68" i="32" s="1"/>
  <c r="H11" i="34"/>
  <c r="I11" i="34" s="1"/>
  <c r="D13" i="24"/>
  <c r="D14" i="24"/>
  <c r="D18" i="24"/>
  <c r="D23" i="24"/>
  <c r="D16" i="24"/>
  <c r="D19" i="24"/>
  <c r="D20" i="24"/>
  <c r="D21" i="24"/>
  <c r="D12" i="24"/>
  <c r="D22" i="24"/>
  <c r="D17" i="24"/>
  <c r="I26" i="2"/>
  <c r="I193" i="2"/>
  <c r="I213" i="2" s="1"/>
  <c r="D40" i="32" s="1"/>
  <c r="H208" i="2"/>
  <c r="H205" i="2" s="1"/>
  <c r="B65" i="32"/>
  <c r="H188" i="2"/>
  <c r="C39" i="29"/>
  <c r="C62" i="32"/>
  <c r="D56" i="32" s="1"/>
  <c r="D25" i="34" s="1"/>
  <c r="D21" i="13"/>
  <c r="D20" i="13"/>
  <c r="D12" i="13"/>
  <c r="D16" i="13"/>
  <c r="D13" i="13"/>
  <c r="D18" i="13"/>
  <c r="C43" i="28"/>
  <c r="D17" i="13"/>
  <c r="D19" i="13"/>
  <c r="D23" i="13"/>
  <c r="D14" i="13"/>
  <c r="D22" i="13"/>
  <c r="D15" i="13"/>
  <c r="F22" i="34"/>
  <c r="F19" i="34"/>
  <c r="F20" i="34"/>
  <c r="F13" i="34"/>
  <c r="F16" i="34"/>
  <c r="F18" i="34"/>
  <c r="F23" i="34"/>
  <c r="F14" i="34"/>
  <c r="F17" i="34"/>
  <c r="F21" i="34"/>
  <c r="F12" i="34"/>
  <c r="F15" i="34"/>
  <c r="B50" i="28"/>
  <c r="H238" i="2"/>
  <c r="K22" i="11"/>
  <c r="L22" i="11" s="1"/>
  <c r="K24" i="11"/>
  <c r="L24" i="11" s="1"/>
  <c r="K26" i="11"/>
  <c r="L26" i="11" s="1"/>
  <c r="K23" i="11"/>
  <c r="L23" i="11" s="1"/>
  <c r="K21" i="11"/>
  <c r="L21" i="11" s="1"/>
  <c r="K19" i="11"/>
  <c r="L19" i="11" s="1"/>
  <c r="K16" i="11"/>
  <c r="L16" i="11" s="1"/>
  <c r="K20" i="11"/>
  <c r="L20" i="11" s="1"/>
  <c r="K17" i="11"/>
  <c r="L17" i="11" s="1"/>
  <c r="K25" i="11"/>
  <c r="L25" i="11" s="1"/>
  <c r="K15" i="11"/>
  <c r="L15" i="11" s="1"/>
  <c r="K18" i="11"/>
  <c r="L18" i="11" s="1"/>
  <c r="D21" i="11"/>
  <c r="D19" i="11"/>
  <c r="B99" i="1"/>
  <c r="C101" i="1" s="1"/>
  <c r="I60" i="2"/>
  <c r="C114" i="1"/>
  <c r="H55" i="2" s="1"/>
  <c r="C96" i="1"/>
  <c r="C97" i="1" s="1"/>
  <c r="D93" i="1" s="1"/>
  <c r="C78" i="1"/>
  <c r="I143" i="2" l="1"/>
  <c r="D26" i="11"/>
  <c r="D25" i="11"/>
  <c r="D24" i="11"/>
  <c r="D20" i="11"/>
  <c r="D15" i="11"/>
  <c r="D23" i="11"/>
  <c r="D22" i="11"/>
  <c r="D17" i="11"/>
  <c r="G45" i="2"/>
  <c r="M17" i="11" s="1"/>
  <c r="D18" i="11"/>
  <c r="D16" i="11"/>
  <c r="H99" i="2"/>
  <c r="H100" i="2" s="1"/>
  <c r="C64" i="44"/>
  <c r="C65" i="44" s="1"/>
  <c r="H129" i="2" s="1"/>
  <c r="H149" i="2" s="1"/>
  <c r="E16" i="46"/>
  <c r="E17" i="46"/>
  <c r="E14" i="46"/>
  <c r="E12" i="46"/>
  <c r="E20" i="46"/>
  <c r="E21" i="46"/>
  <c r="E18" i="46"/>
  <c r="E19" i="46"/>
  <c r="E13" i="46"/>
  <c r="E23" i="46"/>
  <c r="E15" i="46"/>
  <c r="E22" i="46"/>
  <c r="D43" i="44"/>
  <c r="B75" i="44"/>
  <c r="C77" i="44" s="1"/>
  <c r="G117" i="2"/>
  <c r="H76" i="2"/>
  <c r="H140" i="2"/>
  <c r="G136" i="2"/>
  <c r="G137" i="2" s="1"/>
  <c r="G141" i="2" s="1"/>
  <c r="G150" i="2" s="1"/>
  <c r="E73" i="44"/>
  <c r="F68" i="44" s="1"/>
  <c r="B69" i="32"/>
  <c r="D58" i="1"/>
  <c r="D59" i="1" s="1"/>
  <c r="H11" i="24"/>
  <c r="I11" i="24" s="1"/>
  <c r="I11" i="42"/>
  <c r="M15" i="11"/>
  <c r="M22" i="11"/>
  <c r="G18" i="34"/>
  <c r="H199" i="2"/>
  <c r="H200" i="2" s="1"/>
  <c r="H11" i="13"/>
  <c r="I11" i="13" s="1"/>
  <c r="G245" i="2"/>
  <c r="G12" i="13" s="1"/>
  <c r="G13" i="34"/>
  <c r="G23" i="34"/>
  <c r="H231" i="2"/>
  <c r="H232" i="2" s="1"/>
  <c r="G20" i="34"/>
  <c r="G19" i="34"/>
  <c r="G14" i="34"/>
  <c r="G16" i="34"/>
  <c r="G15" i="34"/>
  <c r="G21" i="34"/>
  <c r="G12" i="34"/>
  <c r="G22" i="34"/>
  <c r="G17" i="34"/>
  <c r="H34" i="2"/>
  <c r="I42" i="2" s="1"/>
  <c r="H240" i="2"/>
  <c r="I225" i="2"/>
  <c r="D62" i="28" s="1"/>
  <c r="D64" i="28" s="1"/>
  <c r="D65" i="28" s="1"/>
  <c r="D57" i="28" s="1"/>
  <c r="D77" i="32"/>
  <c r="D80" i="32" s="1"/>
  <c r="D28" i="34"/>
  <c r="D35" i="34"/>
  <c r="D32" i="34"/>
  <c r="C79" i="29"/>
  <c r="D27" i="34"/>
  <c r="D29" i="34"/>
  <c r="D34" i="34"/>
  <c r="D24" i="34"/>
  <c r="D31" i="34"/>
  <c r="D30" i="34"/>
  <c r="D26" i="34"/>
  <c r="D33" i="34"/>
  <c r="H210" i="2"/>
  <c r="D37" i="32"/>
  <c r="D39" i="32" s="1"/>
  <c r="I191" i="2" s="1"/>
  <c r="E15" i="13"/>
  <c r="F15" i="13" s="1"/>
  <c r="E14" i="13"/>
  <c r="F14" i="13" s="1"/>
  <c r="E13" i="13"/>
  <c r="F13" i="13" s="1"/>
  <c r="E12" i="13"/>
  <c r="F12" i="13" s="1"/>
  <c r="E21" i="13"/>
  <c r="F21" i="13" s="1"/>
  <c r="E20" i="13"/>
  <c r="F20" i="13" s="1"/>
  <c r="E19" i="13"/>
  <c r="F19" i="13" s="1"/>
  <c r="E22" i="13"/>
  <c r="F22" i="13" s="1"/>
  <c r="E23" i="13"/>
  <c r="F23" i="13" s="1"/>
  <c r="C44" i="28"/>
  <c r="E16" i="13"/>
  <c r="F16" i="13" s="1"/>
  <c r="E17" i="13"/>
  <c r="F17" i="13" s="1"/>
  <c r="E18" i="13"/>
  <c r="F18" i="13" s="1"/>
  <c r="H233" i="2"/>
  <c r="I241" i="2" s="1"/>
  <c r="Q14" i="11"/>
  <c r="R14" i="11" s="1"/>
  <c r="G81" i="2"/>
  <c r="E17" i="11"/>
  <c r="E16" i="11"/>
  <c r="E20" i="11"/>
  <c r="E21" i="11"/>
  <c r="F21" i="11" s="1"/>
  <c r="E24" i="11"/>
  <c r="E22" i="11"/>
  <c r="E15" i="11"/>
  <c r="E19" i="11"/>
  <c r="F19" i="11" s="1"/>
  <c r="E25" i="11"/>
  <c r="E18" i="11"/>
  <c r="E23" i="11"/>
  <c r="E26" i="11"/>
  <c r="F26" i="11" s="1"/>
  <c r="G24" i="11"/>
  <c r="G16" i="11"/>
  <c r="G26" i="11"/>
  <c r="G21" i="11"/>
  <c r="G18" i="11"/>
  <c r="G19" i="11"/>
  <c r="G20" i="11"/>
  <c r="G15" i="11"/>
  <c r="G22" i="11"/>
  <c r="G17" i="11"/>
  <c r="G25" i="11"/>
  <c r="G23" i="11"/>
  <c r="J38" i="11"/>
  <c r="D95" i="1"/>
  <c r="J36" i="11"/>
  <c r="J35" i="11"/>
  <c r="J27" i="11"/>
  <c r="J34" i="11"/>
  <c r="J31" i="11"/>
  <c r="J32" i="11"/>
  <c r="J28" i="11"/>
  <c r="J37" i="11"/>
  <c r="J29" i="11"/>
  <c r="J30" i="11"/>
  <c r="J33" i="11"/>
  <c r="C88" i="1"/>
  <c r="H41" i="2"/>
  <c r="H110" i="2"/>
  <c r="D44" i="44" l="1"/>
  <c r="I126" i="2" s="1"/>
  <c r="I145" i="2" s="1"/>
  <c r="F25" i="11"/>
  <c r="F22" i="11"/>
  <c r="F16" i="11"/>
  <c r="F24" i="11"/>
  <c r="F20" i="11"/>
  <c r="F23" i="11"/>
  <c r="F15" i="11"/>
  <c r="F18" i="11"/>
  <c r="M19" i="11"/>
  <c r="M16" i="11"/>
  <c r="M23" i="11"/>
  <c r="B64" i="40"/>
  <c r="M21" i="11"/>
  <c r="B80" i="44"/>
  <c r="B104" i="1"/>
  <c r="B70" i="29"/>
  <c r="M25" i="11"/>
  <c r="M24" i="11"/>
  <c r="F17" i="11"/>
  <c r="M20" i="11"/>
  <c r="M26" i="11"/>
  <c r="M18" i="11"/>
  <c r="B54" i="28"/>
  <c r="G12" i="24"/>
  <c r="H108" i="2"/>
  <c r="H101" i="2" s="1"/>
  <c r="G23" i="24"/>
  <c r="G16" i="24"/>
  <c r="G19" i="24"/>
  <c r="G15" i="24"/>
  <c r="G14" i="24"/>
  <c r="G20" i="24"/>
  <c r="G22" i="24"/>
  <c r="G18" i="24"/>
  <c r="G17" i="24"/>
  <c r="G21" i="24"/>
  <c r="G13" i="24"/>
  <c r="B69" i="29"/>
  <c r="C67" i="44"/>
  <c r="D61" i="44" s="1"/>
  <c r="D33" i="46" s="1"/>
  <c r="G151" i="2"/>
  <c r="H142" i="2" s="1"/>
  <c r="H135" i="2" s="1"/>
  <c r="H11" i="46"/>
  <c r="I11" i="46" s="1"/>
  <c r="I144" i="2"/>
  <c r="H122" i="2"/>
  <c r="I53" i="2"/>
  <c r="I74" i="2" s="1"/>
  <c r="D112" i="1"/>
  <c r="F70" i="44"/>
  <c r="F71" i="44" s="1"/>
  <c r="F72" i="44" s="1"/>
  <c r="C108" i="1"/>
  <c r="C73" i="32" s="1"/>
  <c r="B53" i="28"/>
  <c r="G21" i="13"/>
  <c r="G19" i="13"/>
  <c r="C78" i="29"/>
  <c r="C80" i="29" s="1"/>
  <c r="C82" i="29" s="1"/>
  <c r="C83" i="29" s="1"/>
  <c r="H93" i="2" s="1"/>
  <c r="H112" i="2" s="1"/>
  <c r="G23" i="13"/>
  <c r="G14" i="13"/>
  <c r="G16" i="13"/>
  <c r="G22" i="13"/>
  <c r="G18" i="13"/>
  <c r="G17" i="13"/>
  <c r="G13" i="13"/>
  <c r="G20" i="13"/>
  <c r="G15" i="13"/>
  <c r="H196" i="2"/>
  <c r="H202" i="2" s="1"/>
  <c r="H203" i="2" s="1"/>
  <c r="H209" i="2" s="1"/>
  <c r="H216" i="2" s="1"/>
  <c r="D81" i="32"/>
  <c r="D41" i="32"/>
  <c r="C47" i="28"/>
  <c r="D41" i="28" s="1"/>
  <c r="C45" i="28"/>
  <c r="H227" i="2" s="1"/>
  <c r="C89" i="1"/>
  <c r="C90" i="1"/>
  <c r="K31" i="11"/>
  <c r="L31" i="11" s="1"/>
  <c r="K38" i="11"/>
  <c r="L38" i="11" s="1"/>
  <c r="K28" i="11"/>
  <c r="L28" i="11" s="1"/>
  <c r="K33" i="11"/>
  <c r="L33" i="11" s="1"/>
  <c r="K32" i="11"/>
  <c r="L32" i="11" s="1"/>
  <c r="K27" i="11"/>
  <c r="L27" i="11" s="1"/>
  <c r="K35" i="11"/>
  <c r="L35" i="11" s="1"/>
  <c r="K36" i="11"/>
  <c r="L36" i="11" s="1"/>
  <c r="K29" i="11"/>
  <c r="L29" i="11" s="1"/>
  <c r="K30" i="11"/>
  <c r="L30" i="11" s="1"/>
  <c r="K37" i="11"/>
  <c r="L37" i="11" s="1"/>
  <c r="K34" i="11"/>
  <c r="L34" i="11" s="1"/>
  <c r="B103" i="1"/>
  <c r="P17" i="11"/>
  <c r="P20" i="11"/>
  <c r="P25" i="11"/>
  <c r="P24" i="11"/>
  <c r="P22" i="11"/>
  <c r="P21" i="11"/>
  <c r="P23" i="11"/>
  <c r="P19" i="11"/>
  <c r="P18" i="11"/>
  <c r="P26" i="11"/>
  <c r="P15" i="11"/>
  <c r="P16" i="11"/>
  <c r="D96" i="1"/>
  <c r="D97" i="1" s="1"/>
  <c r="E93" i="1" s="1"/>
  <c r="D58" i="44" l="1"/>
  <c r="D59" i="44" s="1"/>
  <c r="D63" i="44" s="1"/>
  <c r="D64" i="44" s="1"/>
  <c r="C84" i="29"/>
  <c r="C73" i="29" s="1"/>
  <c r="D31" i="46"/>
  <c r="B79" i="44"/>
  <c r="D30" i="46"/>
  <c r="D29" i="46"/>
  <c r="D27" i="46"/>
  <c r="D26" i="46"/>
  <c r="D25" i="46"/>
  <c r="D24" i="46"/>
  <c r="D32" i="46"/>
  <c r="D28" i="46"/>
  <c r="D35" i="46"/>
  <c r="D34" i="46"/>
  <c r="G13" i="46"/>
  <c r="G17" i="46"/>
  <c r="G21" i="46"/>
  <c r="G20" i="46"/>
  <c r="G14" i="46"/>
  <c r="G18" i="46"/>
  <c r="G22" i="46"/>
  <c r="G12" i="46"/>
  <c r="G15" i="46"/>
  <c r="G19" i="46"/>
  <c r="G23" i="46"/>
  <c r="G16" i="46"/>
  <c r="C68" i="40"/>
  <c r="C84" i="44"/>
  <c r="H133" i="2"/>
  <c r="H134" i="2" s="1"/>
  <c r="H130" i="2"/>
  <c r="C74" i="29"/>
  <c r="C58" i="28"/>
  <c r="F73" i="44"/>
  <c r="G68" i="44" s="1"/>
  <c r="C63" i="32"/>
  <c r="C58" i="40"/>
  <c r="C67" i="40"/>
  <c r="I208" i="2"/>
  <c r="I205" i="2" s="1"/>
  <c r="H19" i="34"/>
  <c r="I19" i="34" s="1"/>
  <c r="H20" i="34"/>
  <c r="I20" i="34" s="1"/>
  <c r="H14" i="34"/>
  <c r="I14" i="34" s="1"/>
  <c r="H18" i="34"/>
  <c r="I18" i="34" s="1"/>
  <c r="H17" i="34"/>
  <c r="I17" i="34" s="1"/>
  <c r="H23" i="34"/>
  <c r="I23" i="34" s="1"/>
  <c r="H13" i="34"/>
  <c r="I13" i="34" s="1"/>
  <c r="H22" i="34"/>
  <c r="I22" i="34" s="1"/>
  <c r="H15" i="34"/>
  <c r="I15" i="34" s="1"/>
  <c r="H16" i="34"/>
  <c r="I16" i="34" s="1"/>
  <c r="H21" i="34"/>
  <c r="I21" i="34" s="1"/>
  <c r="H217" i="2"/>
  <c r="C68" i="32" s="1"/>
  <c r="H12" i="34"/>
  <c r="I12" i="34" s="1"/>
  <c r="J193" i="2"/>
  <c r="J213" i="2" s="1"/>
  <c r="E40" i="32" s="1"/>
  <c r="C65" i="32"/>
  <c r="I188" i="2"/>
  <c r="I199" i="2" s="1"/>
  <c r="I200" i="2" s="1"/>
  <c r="C75" i="1"/>
  <c r="C76" i="1" s="1"/>
  <c r="H243" i="2"/>
  <c r="H228" i="2"/>
  <c r="D28" i="13"/>
  <c r="D43" i="28"/>
  <c r="D34" i="13"/>
  <c r="D30" i="13"/>
  <c r="D26" i="13"/>
  <c r="D35" i="13"/>
  <c r="D27" i="13"/>
  <c r="D25" i="13"/>
  <c r="D33" i="13"/>
  <c r="D24" i="13"/>
  <c r="D32" i="13"/>
  <c r="D31" i="13"/>
  <c r="D29" i="13"/>
  <c r="D72" i="32"/>
  <c r="J40" i="11"/>
  <c r="J47" i="11"/>
  <c r="J41" i="11"/>
  <c r="J44" i="11"/>
  <c r="E95" i="1"/>
  <c r="E96" i="1" s="1"/>
  <c r="E97" i="1" s="1"/>
  <c r="F93" i="1" s="1"/>
  <c r="J42" i="11"/>
  <c r="J50" i="11"/>
  <c r="J45" i="11"/>
  <c r="J39" i="11"/>
  <c r="J46" i="11"/>
  <c r="J49" i="11"/>
  <c r="J48" i="11"/>
  <c r="J43" i="11"/>
  <c r="C48" i="28"/>
  <c r="C64" i="29"/>
  <c r="D85" i="1"/>
  <c r="H27" i="2"/>
  <c r="H28" i="2" s="1"/>
  <c r="C76" i="44" s="1"/>
  <c r="H43" i="2"/>
  <c r="J143" i="2" l="1"/>
  <c r="C85" i="29"/>
  <c r="C41" i="29" s="1"/>
  <c r="C54" i="29" s="1"/>
  <c r="C55" i="29" s="1"/>
  <c r="E34" i="46"/>
  <c r="E33" i="46"/>
  <c r="E32" i="46"/>
  <c r="E27" i="46"/>
  <c r="E35" i="46"/>
  <c r="E31" i="46"/>
  <c r="E30" i="46"/>
  <c r="E29" i="46"/>
  <c r="E28" i="46"/>
  <c r="E26" i="46"/>
  <c r="E25" i="46"/>
  <c r="E24" i="46"/>
  <c r="C75" i="44"/>
  <c r="E43" i="44"/>
  <c r="H136" i="2"/>
  <c r="H137" i="2" s="1"/>
  <c r="H141" i="2" s="1"/>
  <c r="H150" i="2" s="1"/>
  <c r="G70" i="44"/>
  <c r="G71" i="44" s="1"/>
  <c r="G72" i="44" s="1"/>
  <c r="D67" i="44"/>
  <c r="E61" i="44" s="1"/>
  <c r="D65" i="44"/>
  <c r="I129" i="2" s="1"/>
  <c r="I149" i="2" s="1"/>
  <c r="H35" i="2"/>
  <c r="H36" i="2" s="1"/>
  <c r="H40" i="2" s="1"/>
  <c r="H44" i="2" s="1"/>
  <c r="N18" i="11" s="1"/>
  <c r="O18" i="11" s="1"/>
  <c r="C61" i="40"/>
  <c r="C48" i="40"/>
  <c r="C49" i="40" s="1"/>
  <c r="G25" i="34"/>
  <c r="I222" i="2"/>
  <c r="H234" i="2"/>
  <c r="H235" i="2" s="1"/>
  <c r="H239" i="2" s="1"/>
  <c r="H244" i="2" s="1"/>
  <c r="G35" i="34"/>
  <c r="G30" i="34"/>
  <c r="G31" i="34"/>
  <c r="G28" i="34"/>
  <c r="G27" i="34"/>
  <c r="G33" i="34"/>
  <c r="G32" i="34"/>
  <c r="G26" i="34"/>
  <c r="G24" i="34"/>
  <c r="G34" i="34"/>
  <c r="G29" i="34"/>
  <c r="E77" i="32"/>
  <c r="E78" i="32"/>
  <c r="C66" i="32"/>
  <c r="I23" i="2"/>
  <c r="I210" i="2"/>
  <c r="E37" i="32"/>
  <c r="E39" i="32" s="1"/>
  <c r="J191" i="2" s="1"/>
  <c r="D44" i="28"/>
  <c r="D45" i="28" s="1"/>
  <c r="I227" i="2" s="1"/>
  <c r="I243" i="2" s="1"/>
  <c r="E26" i="13"/>
  <c r="F26" i="13" s="1"/>
  <c r="E33" i="13"/>
  <c r="F33" i="13" s="1"/>
  <c r="E31" i="13"/>
  <c r="F31" i="13" s="1"/>
  <c r="E34" i="13"/>
  <c r="F34" i="13" s="1"/>
  <c r="E30" i="13"/>
  <c r="F30" i="13" s="1"/>
  <c r="E27" i="13"/>
  <c r="F27" i="13" s="1"/>
  <c r="E35" i="13"/>
  <c r="F35" i="13" s="1"/>
  <c r="E25" i="13"/>
  <c r="F25" i="13" s="1"/>
  <c r="E29" i="13"/>
  <c r="F29" i="13" s="1"/>
  <c r="E24" i="13"/>
  <c r="F24" i="13" s="1"/>
  <c r="E32" i="13"/>
  <c r="F32" i="13" s="1"/>
  <c r="E28" i="13"/>
  <c r="F28" i="13" s="1"/>
  <c r="C50" i="28"/>
  <c r="I238" i="2"/>
  <c r="J225" i="2" s="1"/>
  <c r="E62" i="28" s="1"/>
  <c r="D82" i="32"/>
  <c r="D43" i="32" s="1"/>
  <c r="J55" i="11"/>
  <c r="J57" i="11"/>
  <c r="J62" i="11"/>
  <c r="J58" i="11"/>
  <c r="J56" i="11"/>
  <c r="J54" i="11"/>
  <c r="J51" i="11"/>
  <c r="F95" i="1"/>
  <c r="J52" i="11"/>
  <c r="J61" i="11"/>
  <c r="J60" i="11"/>
  <c r="J53" i="11"/>
  <c r="J59" i="11"/>
  <c r="D87" i="1"/>
  <c r="D88" i="1" s="1"/>
  <c r="D89" i="1" s="1"/>
  <c r="D27" i="11"/>
  <c r="D38" i="11"/>
  <c r="D30" i="11"/>
  <c r="D36" i="11"/>
  <c r="D33" i="11"/>
  <c r="D37" i="11"/>
  <c r="D35" i="11"/>
  <c r="D29" i="11"/>
  <c r="D28" i="11"/>
  <c r="D31" i="11"/>
  <c r="D32" i="11"/>
  <c r="D34" i="11"/>
  <c r="C67" i="29"/>
  <c r="C51" i="28"/>
  <c r="C100" i="1"/>
  <c r="I39" i="2"/>
  <c r="J26" i="2" s="1"/>
  <c r="C80" i="1"/>
  <c r="H26" i="11" s="1"/>
  <c r="I26" i="11" s="1"/>
  <c r="K49" i="11"/>
  <c r="L49" i="11" s="1"/>
  <c r="K43" i="11"/>
  <c r="L43" i="11" s="1"/>
  <c r="K44" i="11"/>
  <c r="L44" i="11" s="1"/>
  <c r="K46" i="11"/>
  <c r="L46" i="11" s="1"/>
  <c r="K50" i="11"/>
  <c r="L50" i="11" s="1"/>
  <c r="K39" i="11"/>
  <c r="L39" i="11" s="1"/>
  <c r="K48" i="11"/>
  <c r="L48" i="11" s="1"/>
  <c r="K42" i="11"/>
  <c r="L42" i="11" s="1"/>
  <c r="K47" i="11"/>
  <c r="L47" i="11" s="1"/>
  <c r="K41" i="11"/>
  <c r="L41" i="11" s="1"/>
  <c r="K40" i="11"/>
  <c r="L40" i="11" s="1"/>
  <c r="K45" i="11"/>
  <c r="L45" i="11" s="1"/>
  <c r="E44" i="44" l="1"/>
  <c r="J126" i="2" s="1"/>
  <c r="E88" i="44"/>
  <c r="E89" i="44" s="1"/>
  <c r="J127" i="2" s="1"/>
  <c r="J146" i="2" s="1"/>
  <c r="H151" i="2"/>
  <c r="C79" i="44" s="1"/>
  <c r="H15" i="46"/>
  <c r="H19" i="46"/>
  <c r="H23" i="46"/>
  <c r="H14" i="46"/>
  <c r="H12" i="46"/>
  <c r="H16" i="46"/>
  <c r="H20" i="46"/>
  <c r="H22" i="46"/>
  <c r="H13" i="46"/>
  <c r="H17" i="46"/>
  <c r="H21" i="46"/>
  <c r="H18" i="46"/>
  <c r="D37" i="46"/>
  <c r="D41" i="46"/>
  <c r="D45" i="46"/>
  <c r="D47" i="46"/>
  <c r="D40" i="46"/>
  <c r="D38" i="46"/>
  <c r="D42" i="46"/>
  <c r="D46" i="46"/>
  <c r="D39" i="46"/>
  <c r="D44" i="46"/>
  <c r="D43" i="46"/>
  <c r="D36" i="46"/>
  <c r="G73" i="44"/>
  <c r="C59" i="29"/>
  <c r="E21" i="24" s="1"/>
  <c r="F21" i="24" s="1"/>
  <c r="C53" i="40"/>
  <c r="C54" i="40" s="1"/>
  <c r="H20" i="13"/>
  <c r="I20" i="13" s="1"/>
  <c r="H14" i="13"/>
  <c r="I14" i="13" s="1"/>
  <c r="H23" i="13"/>
  <c r="I23" i="13" s="1"/>
  <c r="H13" i="13"/>
  <c r="I13" i="13" s="1"/>
  <c r="H245" i="2"/>
  <c r="G32" i="13" s="1"/>
  <c r="H22" i="13"/>
  <c r="I22" i="13" s="1"/>
  <c r="N21" i="11"/>
  <c r="O21" i="11" s="1"/>
  <c r="H19" i="13"/>
  <c r="I19" i="13" s="1"/>
  <c r="H21" i="13"/>
  <c r="I21" i="13" s="1"/>
  <c r="I231" i="2"/>
  <c r="I232" i="2" s="1"/>
  <c r="N26" i="11"/>
  <c r="O26" i="11" s="1"/>
  <c r="N16" i="11"/>
  <c r="O16" i="11" s="1"/>
  <c r="N20" i="11"/>
  <c r="O20" i="11" s="1"/>
  <c r="N24" i="11"/>
  <c r="O24" i="11" s="1"/>
  <c r="N22" i="11"/>
  <c r="O22" i="11" s="1"/>
  <c r="N19" i="11"/>
  <c r="O19" i="11" s="1"/>
  <c r="N15" i="11"/>
  <c r="O15" i="11" s="1"/>
  <c r="N25" i="11"/>
  <c r="O25" i="11" s="1"/>
  <c r="H15" i="13"/>
  <c r="I15" i="13" s="1"/>
  <c r="H16" i="13"/>
  <c r="I16" i="13" s="1"/>
  <c r="H18" i="13"/>
  <c r="I18" i="13" s="1"/>
  <c r="H45" i="2"/>
  <c r="N23" i="11"/>
  <c r="O23" i="11" s="1"/>
  <c r="N17" i="11"/>
  <c r="O17" i="11" s="1"/>
  <c r="H12" i="13"/>
  <c r="I12" i="13" s="1"/>
  <c r="H17" i="13"/>
  <c r="I17" i="13" s="1"/>
  <c r="I32" i="2"/>
  <c r="I33" i="2" s="1"/>
  <c r="E80" i="32"/>
  <c r="E81" i="32" s="1"/>
  <c r="E41" i="32"/>
  <c r="D53" i="32"/>
  <c r="D54" i="32" s="1"/>
  <c r="D58" i="32" s="1"/>
  <c r="D59" i="32" s="1"/>
  <c r="I240" i="2"/>
  <c r="E64" i="28"/>
  <c r="E65" i="28" s="1"/>
  <c r="E57" i="28" s="1"/>
  <c r="I233" i="2"/>
  <c r="J241" i="2" s="1"/>
  <c r="D47" i="28"/>
  <c r="E41" i="28" s="1"/>
  <c r="I228" i="2"/>
  <c r="J222" i="2" s="1"/>
  <c r="H23" i="11"/>
  <c r="I23" i="11" s="1"/>
  <c r="H16" i="11"/>
  <c r="I16" i="11" s="1"/>
  <c r="D90" i="1"/>
  <c r="H15" i="11"/>
  <c r="I15" i="11" s="1"/>
  <c r="H18" i="11"/>
  <c r="I18" i="11" s="1"/>
  <c r="H25" i="11"/>
  <c r="I25" i="11" s="1"/>
  <c r="I43" i="2"/>
  <c r="I27" i="2"/>
  <c r="K59" i="11"/>
  <c r="L59" i="11" s="1"/>
  <c r="K52" i="11"/>
  <c r="L52" i="11" s="1"/>
  <c r="K58" i="11"/>
  <c r="L58" i="11" s="1"/>
  <c r="K51" i="11"/>
  <c r="L51" i="11" s="1"/>
  <c r="K60" i="11"/>
  <c r="L60" i="11" s="1"/>
  <c r="K53" i="11"/>
  <c r="L53" i="11" s="1"/>
  <c r="K54" i="11"/>
  <c r="L54" i="11" s="1"/>
  <c r="K61" i="11"/>
  <c r="L61" i="11" s="1"/>
  <c r="K57" i="11"/>
  <c r="L57" i="11" s="1"/>
  <c r="K56" i="11"/>
  <c r="L56" i="11" s="1"/>
  <c r="K62" i="11"/>
  <c r="L62" i="11" s="1"/>
  <c r="K55" i="11"/>
  <c r="L55" i="11" s="1"/>
  <c r="H22" i="11"/>
  <c r="I22" i="11" s="1"/>
  <c r="H24" i="11"/>
  <c r="I24" i="11" s="1"/>
  <c r="H21" i="11"/>
  <c r="I21" i="11" s="1"/>
  <c r="E34" i="11"/>
  <c r="F34" i="11" s="1"/>
  <c r="E27" i="11"/>
  <c r="F27" i="11" s="1"/>
  <c r="E36" i="11"/>
  <c r="F36" i="11" s="1"/>
  <c r="E31" i="11"/>
  <c r="F31" i="11" s="1"/>
  <c r="E38" i="11"/>
  <c r="F38" i="11" s="1"/>
  <c r="E30" i="11"/>
  <c r="F30" i="11" s="1"/>
  <c r="E32" i="11"/>
  <c r="F32" i="11" s="1"/>
  <c r="E37" i="11"/>
  <c r="F37" i="11" s="1"/>
  <c r="E35" i="11"/>
  <c r="F35" i="11" s="1"/>
  <c r="E29" i="11"/>
  <c r="F29" i="11" s="1"/>
  <c r="E33" i="11"/>
  <c r="F33" i="11" s="1"/>
  <c r="E28" i="11"/>
  <c r="F28" i="11" s="1"/>
  <c r="H19" i="11"/>
  <c r="I19" i="11" s="1"/>
  <c r="H17" i="11"/>
  <c r="I17" i="11" s="1"/>
  <c r="C81" i="1"/>
  <c r="C82" i="1" s="1"/>
  <c r="H57" i="2" s="1"/>
  <c r="H50" i="2" s="1"/>
  <c r="H20" i="11"/>
  <c r="I20" i="11" s="1"/>
  <c r="F96" i="1"/>
  <c r="F97" i="1" s="1"/>
  <c r="G93" i="1" s="1"/>
  <c r="E46" i="44" l="1"/>
  <c r="E90" i="44"/>
  <c r="E92" i="44" s="1"/>
  <c r="G25" i="46"/>
  <c r="G29" i="46"/>
  <c r="G33" i="46"/>
  <c r="G32" i="46"/>
  <c r="G26" i="46"/>
  <c r="G30" i="46"/>
  <c r="G34" i="46"/>
  <c r="G24" i="46"/>
  <c r="G27" i="46"/>
  <c r="G31" i="46"/>
  <c r="G35" i="46"/>
  <c r="G28" i="46"/>
  <c r="F23" i="46"/>
  <c r="F21" i="46"/>
  <c r="F19" i="46"/>
  <c r="F15" i="46"/>
  <c r="F17" i="46"/>
  <c r="F13" i="46"/>
  <c r="F22" i="46"/>
  <c r="F16" i="46"/>
  <c r="F20" i="46"/>
  <c r="F18" i="46"/>
  <c r="F12" i="46"/>
  <c r="F14" i="46"/>
  <c r="M35" i="11"/>
  <c r="C80" i="44"/>
  <c r="G29" i="13"/>
  <c r="E19" i="42"/>
  <c r="F19" i="42" s="1"/>
  <c r="E18" i="42"/>
  <c r="F18" i="42" s="1"/>
  <c r="E12" i="42"/>
  <c r="F12" i="42" s="1"/>
  <c r="E20" i="42"/>
  <c r="F20" i="42" s="1"/>
  <c r="E14" i="42"/>
  <c r="F14" i="42" s="1"/>
  <c r="E21" i="42"/>
  <c r="F21" i="42" s="1"/>
  <c r="E16" i="42"/>
  <c r="F16" i="42" s="1"/>
  <c r="E23" i="42"/>
  <c r="F23" i="42" s="1"/>
  <c r="E17" i="42"/>
  <c r="F17" i="42" s="1"/>
  <c r="E22" i="42"/>
  <c r="F22" i="42" s="1"/>
  <c r="E15" i="42"/>
  <c r="E13" i="42"/>
  <c r="F13" i="42" s="1"/>
  <c r="E12" i="24"/>
  <c r="F12" i="24" s="1"/>
  <c r="E17" i="24"/>
  <c r="F17" i="24" s="1"/>
  <c r="C53" i="28"/>
  <c r="E20" i="24"/>
  <c r="F20" i="24" s="1"/>
  <c r="E22" i="24"/>
  <c r="F22" i="24" s="1"/>
  <c r="E15" i="24"/>
  <c r="F15" i="24" s="1"/>
  <c r="E13" i="24"/>
  <c r="F13" i="24" s="1"/>
  <c r="E18" i="24"/>
  <c r="F18" i="24" s="1"/>
  <c r="E23" i="24"/>
  <c r="F23" i="24" s="1"/>
  <c r="C60" i="29"/>
  <c r="C61" i="29" s="1"/>
  <c r="H95" i="2" s="1"/>
  <c r="H115" i="2" s="1"/>
  <c r="E16" i="24"/>
  <c r="F16" i="24" s="1"/>
  <c r="E19" i="24"/>
  <c r="F19" i="24" s="1"/>
  <c r="E14" i="24"/>
  <c r="F14" i="24" s="1"/>
  <c r="M31" i="11"/>
  <c r="F15" i="42"/>
  <c r="G34" i="13"/>
  <c r="G25" i="13"/>
  <c r="M28" i="11"/>
  <c r="C70" i="29"/>
  <c r="M30" i="11"/>
  <c r="C57" i="40"/>
  <c r="D51" i="40" s="1"/>
  <c r="C55" i="40"/>
  <c r="H163" i="2" s="1"/>
  <c r="D63" i="32"/>
  <c r="D58" i="40"/>
  <c r="C104" i="1"/>
  <c r="C64" i="40"/>
  <c r="M38" i="11"/>
  <c r="M37" i="11"/>
  <c r="M32" i="11"/>
  <c r="G26" i="13"/>
  <c r="G30" i="13"/>
  <c r="G28" i="13"/>
  <c r="G31" i="13"/>
  <c r="G27" i="13"/>
  <c r="G24" i="13"/>
  <c r="G35" i="13"/>
  <c r="G33" i="13"/>
  <c r="M29" i="11"/>
  <c r="M33" i="11"/>
  <c r="M34" i="11"/>
  <c r="C54" i="28"/>
  <c r="C69" i="32"/>
  <c r="M27" i="11"/>
  <c r="M36" i="11"/>
  <c r="I234" i="2"/>
  <c r="I235" i="2" s="1"/>
  <c r="I239" i="2" s="1"/>
  <c r="I244" i="2" s="1"/>
  <c r="I34" i="2"/>
  <c r="J42" i="2" s="1"/>
  <c r="D38" i="29"/>
  <c r="I111" i="2"/>
  <c r="E34" i="34"/>
  <c r="F34" i="34" s="1"/>
  <c r="E29" i="34"/>
  <c r="F29" i="34" s="1"/>
  <c r="E24" i="34"/>
  <c r="F24" i="34" s="1"/>
  <c r="E30" i="34"/>
  <c r="F30" i="34" s="1"/>
  <c r="E25" i="34"/>
  <c r="F25" i="34" s="1"/>
  <c r="E35" i="34"/>
  <c r="F35" i="34" s="1"/>
  <c r="E26" i="34"/>
  <c r="F26" i="34" s="1"/>
  <c r="E32" i="34"/>
  <c r="F32" i="34" s="1"/>
  <c r="E31" i="34"/>
  <c r="F31" i="34" s="1"/>
  <c r="E33" i="34"/>
  <c r="F33" i="34" s="1"/>
  <c r="E28" i="34"/>
  <c r="F28" i="34" s="1"/>
  <c r="E27" i="34"/>
  <c r="F27" i="34" s="1"/>
  <c r="J238" i="2"/>
  <c r="J231" i="2" s="1"/>
  <c r="J232" i="2" s="1"/>
  <c r="D50" i="28"/>
  <c r="E43" i="28"/>
  <c r="D42" i="13"/>
  <c r="D36" i="13"/>
  <c r="D45" i="13"/>
  <c r="D40" i="13"/>
  <c r="D44" i="13"/>
  <c r="D41" i="13"/>
  <c r="D43" i="13"/>
  <c r="D46" i="13"/>
  <c r="D38" i="13"/>
  <c r="D37" i="13"/>
  <c r="D39" i="13"/>
  <c r="D47" i="13"/>
  <c r="D62" i="32"/>
  <c r="E56" i="32" s="1"/>
  <c r="D60" i="32"/>
  <c r="I195" i="2" s="1"/>
  <c r="E72" i="32"/>
  <c r="J67" i="11"/>
  <c r="J74" i="11"/>
  <c r="G95" i="1"/>
  <c r="J72" i="11"/>
  <c r="J75" i="11"/>
  <c r="J71" i="11"/>
  <c r="J64" i="11"/>
  <c r="J69" i="11"/>
  <c r="J63" i="11"/>
  <c r="J70" i="11"/>
  <c r="J68" i="11"/>
  <c r="J66" i="11"/>
  <c r="J65" i="11"/>
  <c r="J73" i="11"/>
  <c r="D64" i="29"/>
  <c r="D48" i="28"/>
  <c r="E85" i="1"/>
  <c r="C84" i="1"/>
  <c r="H78" i="2"/>
  <c r="H59" i="2"/>
  <c r="D77" i="44" s="1"/>
  <c r="H70" i="2"/>
  <c r="I41" i="2"/>
  <c r="I28" i="2"/>
  <c r="D61" i="40" l="1"/>
  <c r="D76" i="44"/>
  <c r="D108" i="1"/>
  <c r="D26" i="42"/>
  <c r="D30" i="42"/>
  <c r="D34" i="42"/>
  <c r="D27" i="42"/>
  <c r="D31" i="42"/>
  <c r="D35" i="42"/>
  <c r="D25" i="42"/>
  <c r="D29" i="42"/>
  <c r="D33" i="42"/>
  <c r="D28" i="42"/>
  <c r="D32" i="42"/>
  <c r="D24" i="42"/>
  <c r="C63" i="29"/>
  <c r="D57" i="29" s="1"/>
  <c r="D24" i="24" s="1"/>
  <c r="H96" i="2"/>
  <c r="H181" i="2"/>
  <c r="H164" i="2"/>
  <c r="H63" i="2"/>
  <c r="H64" i="2" s="1"/>
  <c r="H72" i="2"/>
  <c r="H65" i="2" s="1"/>
  <c r="I35" i="2"/>
  <c r="I36" i="2" s="1"/>
  <c r="I40" i="2" s="1"/>
  <c r="I44" i="2" s="1"/>
  <c r="K225" i="2"/>
  <c r="F62" i="28" s="1"/>
  <c r="F64" i="28" s="1"/>
  <c r="F65" i="28" s="1"/>
  <c r="F57" i="28" s="1"/>
  <c r="D66" i="32"/>
  <c r="J23" i="2"/>
  <c r="D39" i="29"/>
  <c r="J240" i="2"/>
  <c r="D41" i="34"/>
  <c r="D42" i="34"/>
  <c r="D46" i="34"/>
  <c r="D39" i="34"/>
  <c r="D47" i="34"/>
  <c r="D36" i="34"/>
  <c r="D40" i="34"/>
  <c r="D44" i="34"/>
  <c r="D37" i="34"/>
  <c r="D45" i="34"/>
  <c r="D38" i="34"/>
  <c r="D43" i="34"/>
  <c r="I215" i="2"/>
  <c r="I196" i="2"/>
  <c r="I202" i="2" s="1"/>
  <c r="I203" i="2" s="1"/>
  <c r="I209" i="2" s="1"/>
  <c r="E44" i="28"/>
  <c r="E41" i="13"/>
  <c r="F41" i="13" s="1"/>
  <c r="E44" i="13"/>
  <c r="F44" i="13" s="1"/>
  <c r="E39" i="13"/>
  <c r="F39" i="13" s="1"/>
  <c r="E37" i="13"/>
  <c r="F37" i="13" s="1"/>
  <c r="E47" i="13"/>
  <c r="F47" i="13" s="1"/>
  <c r="E36" i="13"/>
  <c r="F36" i="13" s="1"/>
  <c r="E46" i="13"/>
  <c r="F46" i="13" s="1"/>
  <c r="E43" i="13"/>
  <c r="F43" i="13" s="1"/>
  <c r="E42" i="13"/>
  <c r="F42" i="13" s="1"/>
  <c r="E45" i="13"/>
  <c r="F45" i="13" s="1"/>
  <c r="E38" i="13"/>
  <c r="F38" i="13" s="1"/>
  <c r="E40" i="13"/>
  <c r="F40" i="13" s="1"/>
  <c r="I245" i="2"/>
  <c r="H27" i="13"/>
  <c r="I27" i="13" s="1"/>
  <c r="H26" i="13"/>
  <c r="I26" i="13" s="1"/>
  <c r="H32" i="13"/>
  <c r="I32" i="13" s="1"/>
  <c r="H33" i="13"/>
  <c r="I33" i="13" s="1"/>
  <c r="H28" i="13"/>
  <c r="I28" i="13" s="1"/>
  <c r="H29" i="13"/>
  <c r="I29" i="13" s="1"/>
  <c r="H35" i="13"/>
  <c r="I35" i="13" s="1"/>
  <c r="H25" i="13"/>
  <c r="I25" i="13" s="1"/>
  <c r="H24" i="13"/>
  <c r="I24" i="13" s="1"/>
  <c r="H34" i="13"/>
  <c r="I34" i="13" s="1"/>
  <c r="H31" i="13"/>
  <c r="I31" i="13" s="1"/>
  <c r="H30" i="13"/>
  <c r="I30" i="13" s="1"/>
  <c r="E82" i="32"/>
  <c r="E43" i="32" s="1"/>
  <c r="E53" i="32" s="1"/>
  <c r="D100" i="1"/>
  <c r="D67" i="29"/>
  <c r="D51" i="28"/>
  <c r="J39" i="2"/>
  <c r="K66" i="11"/>
  <c r="L66" i="11" s="1"/>
  <c r="K72" i="11"/>
  <c r="L72" i="11" s="1"/>
  <c r="K64" i="11"/>
  <c r="L64" i="11" s="1"/>
  <c r="K67" i="11"/>
  <c r="L67" i="11" s="1"/>
  <c r="K69" i="11"/>
  <c r="L69" i="11" s="1"/>
  <c r="K71" i="11"/>
  <c r="L71" i="11" s="1"/>
  <c r="K73" i="11"/>
  <c r="L73" i="11" s="1"/>
  <c r="K63" i="11"/>
  <c r="L63" i="11" s="1"/>
  <c r="K74" i="11"/>
  <c r="L74" i="11" s="1"/>
  <c r="K65" i="11"/>
  <c r="L65" i="11" s="1"/>
  <c r="K70" i="11"/>
  <c r="L70" i="11" s="1"/>
  <c r="K68" i="11"/>
  <c r="L68" i="11" s="1"/>
  <c r="K75" i="11"/>
  <c r="L75" i="11" s="1"/>
  <c r="L9" i="11" s="1"/>
  <c r="L10" i="11" s="1"/>
  <c r="D78" i="1"/>
  <c r="G96" i="1"/>
  <c r="G97" i="1" s="1"/>
  <c r="D114" i="1"/>
  <c r="I55" i="2" s="1"/>
  <c r="D50" i="11"/>
  <c r="D46" i="11"/>
  <c r="E87" i="1"/>
  <c r="D43" i="11"/>
  <c r="D39" i="11"/>
  <c r="D40" i="11"/>
  <c r="D48" i="11"/>
  <c r="D44" i="11"/>
  <c r="D41" i="11"/>
  <c r="D49" i="11"/>
  <c r="D42" i="11"/>
  <c r="D47" i="11"/>
  <c r="D45" i="11"/>
  <c r="C99" i="1"/>
  <c r="D101" i="1" s="1"/>
  <c r="J60" i="2"/>
  <c r="J109" i="2" l="1"/>
  <c r="H102" i="2"/>
  <c r="H103" i="2" s="1"/>
  <c r="H107" i="2" s="1"/>
  <c r="H116" i="2" s="1"/>
  <c r="H17" i="24" s="1"/>
  <c r="I17" i="24" s="1"/>
  <c r="J92" i="2"/>
  <c r="D68" i="40"/>
  <c r="D84" i="44"/>
  <c r="I14" i="46"/>
  <c r="I16" i="46"/>
  <c r="I12" i="46"/>
  <c r="I15" i="46"/>
  <c r="I13" i="46"/>
  <c r="I18" i="46"/>
  <c r="I22" i="46"/>
  <c r="I23" i="46"/>
  <c r="I20" i="46"/>
  <c r="I19" i="46"/>
  <c r="I17" i="46"/>
  <c r="I21" i="46"/>
  <c r="D33" i="24"/>
  <c r="J145" i="2"/>
  <c r="I76" i="2"/>
  <c r="C66" i="29"/>
  <c r="D74" i="29"/>
  <c r="D58" i="28"/>
  <c r="E58" i="1"/>
  <c r="E59" i="1" s="1"/>
  <c r="D73" i="32"/>
  <c r="D25" i="24"/>
  <c r="D34" i="24"/>
  <c r="D32" i="24"/>
  <c r="D27" i="24"/>
  <c r="D26" i="24"/>
  <c r="D28" i="24"/>
  <c r="D29" i="24"/>
  <c r="D35" i="24"/>
  <c r="D31" i="24"/>
  <c r="D30" i="24"/>
  <c r="I88" i="2"/>
  <c r="H170" i="2"/>
  <c r="H171" i="2" s="1"/>
  <c r="H175" i="2" s="1"/>
  <c r="H182" i="2" s="1"/>
  <c r="C60" i="40"/>
  <c r="I106" i="2"/>
  <c r="I161" i="2"/>
  <c r="I179" i="2" s="1"/>
  <c r="D34" i="40" s="1"/>
  <c r="I156" i="2"/>
  <c r="I174" i="2"/>
  <c r="I160" i="2"/>
  <c r="I216" i="2"/>
  <c r="H31" i="34" s="1"/>
  <c r="I31" i="34" s="1"/>
  <c r="J32" i="2"/>
  <c r="J33" i="2" s="1"/>
  <c r="K26" i="2"/>
  <c r="K193" i="2"/>
  <c r="K213" i="2" s="1"/>
  <c r="F40" i="32" s="1"/>
  <c r="D65" i="32"/>
  <c r="J188" i="2"/>
  <c r="D79" i="29"/>
  <c r="J208" i="2"/>
  <c r="G39" i="13"/>
  <c r="G38" i="13"/>
  <c r="G46" i="13"/>
  <c r="G36" i="13"/>
  <c r="G42" i="13"/>
  <c r="G41" i="13"/>
  <c r="G43" i="13"/>
  <c r="G45" i="13"/>
  <c r="G47" i="13"/>
  <c r="G37" i="13"/>
  <c r="G40" i="13"/>
  <c r="G44" i="13"/>
  <c r="D53" i="28"/>
  <c r="J233" i="2"/>
  <c r="K241" i="2" s="1"/>
  <c r="E45" i="28"/>
  <c r="J227" i="2" s="1"/>
  <c r="E47" i="28"/>
  <c r="F41" i="28" s="1"/>
  <c r="E54" i="32"/>
  <c r="G34" i="11"/>
  <c r="G27" i="11"/>
  <c r="G28" i="11"/>
  <c r="G35" i="11"/>
  <c r="G37" i="11"/>
  <c r="G31" i="11"/>
  <c r="G36" i="11"/>
  <c r="G33" i="11"/>
  <c r="G32" i="11"/>
  <c r="G38" i="11"/>
  <c r="G29" i="11"/>
  <c r="G30" i="11"/>
  <c r="J41" i="2"/>
  <c r="E39" i="11"/>
  <c r="F39" i="11" s="1"/>
  <c r="E46" i="11"/>
  <c r="F46" i="11" s="1"/>
  <c r="E43" i="11"/>
  <c r="F43" i="11" s="1"/>
  <c r="E50" i="11"/>
  <c r="F50" i="11" s="1"/>
  <c r="E47" i="11"/>
  <c r="F47" i="11" s="1"/>
  <c r="E49" i="11"/>
  <c r="F49" i="11" s="1"/>
  <c r="E41" i="11"/>
  <c r="F41" i="11" s="1"/>
  <c r="E42" i="11"/>
  <c r="F42" i="11" s="1"/>
  <c r="E40" i="11"/>
  <c r="F40" i="11" s="1"/>
  <c r="E48" i="11"/>
  <c r="F48" i="11" s="1"/>
  <c r="E44" i="11"/>
  <c r="F44" i="11" s="1"/>
  <c r="E45" i="11"/>
  <c r="F45" i="11" s="1"/>
  <c r="E88" i="1"/>
  <c r="N38" i="11"/>
  <c r="O38" i="11" s="1"/>
  <c r="N27" i="11"/>
  <c r="O27" i="11" s="1"/>
  <c r="N36" i="11"/>
  <c r="O36" i="11" s="1"/>
  <c r="N35" i="11"/>
  <c r="O35" i="11" s="1"/>
  <c r="N33" i="11"/>
  <c r="O33" i="11" s="1"/>
  <c r="N37" i="11"/>
  <c r="O37" i="11" s="1"/>
  <c r="N32" i="11"/>
  <c r="O32" i="11" s="1"/>
  <c r="N31" i="11"/>
  <c r="O31" i="11" s="1"/>
  <c r="N30" i="11"/>
  <c r="O30" i="11" s="1"/>
  <c r="N29" i="11"/>
  <c r="O29" i="11" s="1"/>
  <c r="N28" i="11"/>
  <c r="O28" i="11" s="1"/>
  <c r="N34" i="11"/>
  <c r="O34" i="11" s="1"/>
  <c r="I45" i="2"/>
  <c r="D80" i="44" s="1"/>
  <c r="H12" i="24" l="1"/>
  <c r="I12" i="24" s="1"/>
  <c r="H20" i="24"/>
  <c r="I20" i="24" s="1"/>
  <c r="H18" i="24"/>
  <c r="I18" i="24" s="1"/>
  <c r="H21" i="24"/>
  <c r="I21" i="24" s="1"/>
  <c r="H13" i="24"/>
  <c r="I13" i="24" s="1"/>
  <c r="H22" i="24"/>
  <c r="I22" i="24" s="1"/>
  <c r="H15" i="24"/>
  <c r="I15" i="24" s="1"/>
  <c r="H16" i="24"/>
  <c r="I16" i="24" s="1"/>
  <c r="H117" i="2"/>
  <c r="H23" i="24"/>
  <c r="I23" i="24" s="1"/>
  <c r="H19" i="24"/>
  <c r="I19" i="24" s="1"/>
  <c r="H14" i="24"/>
  <c r="I14" i="24" s="1"/>
  <c r="G27" i="24"/>
  <c r="I122" i="2"/>
  <c r="I140" i="2"/>
  <c r="I142" i="2" s="1"/>
  <c r="J53" i="2"/>
  <c r="J74" i="2" s="1"/>
  <c r="E112" i="1"/>
  <c r="E62" i="1" s="1"/>
  <c r="I99" i="2"/>
  <c r="I100" i="2" s="1"/>
  <c r="H183" i="2"/>
  <c r="H12" i="42"/>
  <c r="I12" i="42" s="1"/>
  <c r="H16" i="42"/>
  <c r="I16" i="42" s="1"/>
  <c r="H20" i="42"/>
  <c r="I20" i="42" s="1"/>
  <c r="H18" i="42"/>
  <c r="I18" i="42" s="1"/>
  <c r="H13" i="42"/>
  <c r="I13" i="42" s="1"/>
  <c r="H17" i="42"/>
  <c r="I17" i="42" s="1"/>
  <c r="H21" i="42"/>
  <c r="I21" i="42" s="1"/>
  <c r="H15" i="42"/>
  <c r="I15" i="42" s="1"/>
  <c r="H19" i="42"/>
  <c r="I19" i="42" s="1"/>
  <c r="H23" i="42"/>
  <c r="I23" i="42" s="1"/>
  <c r="H14" i="42"/>
  <c r="I14" i="42" s="1"/>
  <c r="H22" i="42"/>
  <c r="I22" i="42" s="1"/>
  <c r="G29" i="24"/>
  <c r="I178" i="2"/>
  <c r="D72" i="40"/>
  <c r="D74" i="40" s="1"/>
  <c r="D75" i="40" s="1"/>
  <c r="I167" i="2"/>
  <c r="I168" i="2" s="1"/>
  <c r="H25" i="34"/>
  <c r="I25" i="34" s="1"/>
  <c r="H28" i="34"/>
  <c r="I28" i="34" s="1"/>
  <c r="H30" i="34"/>
  <c r="I30" i="34" s="1"/>
  <c r="H35" i="34"/>
  <c r="I35" i="34" s="1"/>
  <c r="D69" i="32"/>
  <c r="D64" i="40"/>
  <c r="H33" i="34"/>
  <c r="I33" i="34" s="1"/>
  <c r="H27" i="34"/>
  <c r="I27" i="34" s="1"/>
  <c r="H34" i="34"/>
  <c r="I34" i="34" s="1"/>
  <c r="H29" i="34"/>
  <c r="I29" i="34" s="1"/>
  <c r="H24" i="34"/>
  <c r="I24" i="34" s="1"/>
  <c r="I217" i="2"/>
  <c r="D68" i="32" s="1"/>
  <c r="H26" i="34"/>
  <c r="I26" i="34" s="1"/>
  <c r="H32" i="34"/>
  <c r="I32" i="34" s="1"/>
  <c r="J199" i="2"/>
  <c r="J200" i="2" s="1"/>
  <c r="E108" i="1"/>
  <c r="J205" i="2"/>
  <c r="E58" i="32"/>
  <c r="E59" i="32" s="1"/>
  <c r="E60" i="32" s="1"/>
  <c r="J195" i="2" s="1"/>
  <c r="D58" i="13"/>
  <c r="D52" i="13"/>
  <c r="F43" i="28"/>
  <c r="F44" i="28" s="1"/>
  <c r="F45" i="28" s="1"/>
  <c r="K227" i="2" s="1"/>
  <c r="K243" i="2" s="1"/>
  <c r="D51" i="13"/>
  <c r="D54" i="13"/>
  <c r="D50" i="13"/>
  <c r="D56" i="13"/>
  <c r="D55" i="13"/>
  <c r="D59" i="13"/>
  <c r="D53" i="13"/>
  <c r="D57" i="13"/>
  <c r="D49" i="13"/>
  <c r="D48" i="13"/>
  <c r="J243" i="2"/>
  <c r="J228" i="2"/>
  <c r="K222" i="2" s="1"/>
  <c r="D54" i="28"/>
  <c r="D70" i="29"/>
  <c r="D104" i="1"/>
  <c r="M44" i="11"/>
  <c r="M50" i="11"/>
  <c r="M48" i="11"/>
  <c r="M39" i="11"/>
  <c r="M45" i="11"/>
  <c r="M49" i="11"/>
  <c r="M47" i="11"/>
  <c r="M41" i="11"/>
  <c r="M42" i="11"/>
  <c r="M43" i="11"/>
  <c r="M40" i="11"/>
  <c r="M46" i="11"/>
  <c r="E89" i="1"/>
  <c r="E90" i="1"/>
  <c r="G33" i="24" l="1"/>
  <c r="I108" i="2"/>
  <c r="I101" i="2" s="1"/>
  <c r="G28" i="24"/>
  <c r="C69" i="29"/>
  <c r="G32" i="24"/>
  <c r="G34" i="24"/>
  <c r="G24" i="24"/>
  <c r="G31" i="24"/>
  <c r="G35" i="24"/>
  <c r="G25" i="24"/>
  <c r="G26" i="24"/>
  <c r="G30" i="24"/>
  <c r="E68" i="40"/>
  <c r="E84" i="44"/>
  <c r="J144" i="2"/>
  <c r="I135" i="2"/>
  <c r="I133" i="2"/>
  <c r="I134" i="2" s="1"/>
  <c r="I130" i="2"/>
  <c r="E58" i="44"/>
  <c r="E59" i="44" s="1"/>
  <c r="I176" i="2"/>
  <c r="I169" i="2" s="1"/>
  <c r="C63" i="40"/>
  <c r="G26" i="42"/>
  <c r="G30" i="42"/>
  <c r="G34" i="42"/>
  <c r="G24" i="42"/>
  <c r="G28" i="42"/>
  <c r="G27" i="42"/>
  <c r="G31" i="42"/>
  <c r="G35" i="42"/>
  <c r="G25" i="42"/>
  <c r="G29" i="42"/>
  <c r="G33" i="42"/>
  <c r="G32" i="42"/>
  <c r="G43" i="34"/>
  <c r="G44" i="34"/>
  <c r="G38" i="34"/>
  <c r="D67" i="40"/>
  <c r="E63" i="32"/>
  <c r="E58" i="40"/>
  <c r="D78" i="29"/>
  <c r="D80" i="29" s="1"/>
  <c r="D82" i="29" s="1"/>
  <c r="G40" i="34"/>
  <c r="G39" i="34"/>
  <c r="G45" i="34"/>
  <c r="G36" i="34"/>
  <c r="G46" i="34"/>
  <c r="G41" i="34"/>
  <c r="G47" i="34"/>
  <c r="G42" i="34"/>
  <c r="G37" i="34"/>
  <c r="J234" i="2"/>
  <c r="J235" i="2" s="1"/>
  <c r="J239" i="2" s="1"/>
  <c r="J244" i="2" s="1"/>
  <c r="J34" i="2"/>
  <c r="K42" i="2" s="1"/>
  <c r="F77" i="32"/>
  <c r="E73" i="32"/>
  <c r="E58" i="28"/>
  <c r="E74" i="29"/>
  <c r="F78" i="32"/>
  <c r="D75" i="1"/>
  <c r="D76" i="1" s="1"/>
  <c r="J210" i="2"/>
  <c r="F37" i="32"/>
  <c r="F39" i="32" s="1"/>
  <c r="K191" i="2" s="1"/>
  <c r="E46" i="34"/>
  <c r="F46" i="34" s="1"/>
  <c r="E38" i="34"/>
  <c r="F38" i="34" s="1"/>
  <c r="E62" i="32"/>
  <c r="F56" i="32" s="1"/>
  <c r="D51" i="34" s="1"/>
  <c r="E41" i="34"/>
  <c r="F41" i="34" s="1"/>
  <c r="E42" i="34"/>
  <c r="F42" i="34" s="1"/>
  <c r="E37" i="34"/>
  <c r="F37" i="34" s="1"/>
  <c r="E44" i="34"/>
  <c r="F44" i="34" s="1"/>
  <c r="E45" i="34"/>
  <c r="F45" i="34" s="1"/>
  <c r="E36" i="34"/>
  <c r="F36" i="34" s="1"/>
  <c r="E40" i="34"/>
  <c r="F40" i="34" s="1"/>
  <c r="E47" i="34"/>
  <c r="F47" i="34" s="1"/>
  <c r="E43" i="34"/>
  <c r="F43" i="34" s="1"/>
  <c r="E39" i="34"/>
  <c r="F39" i="34" s="1"/>
  <c r="J215" i="2"/>
  <c r="F47" i="28"/>
  <c r="G41" i="28" s="1"/>
  <c r="E48" i="13"/>
  <c r="F48" i="13" s="1"/>
  <c r="E52" i="13"/>
  <c r="F52" i="13" s="1"/>
  <c r="E56" i="13"/>
  <c r="F56" i="13" s="1"/>
  <c r="E50" i="13"/>
  <c r="F50" i="13" s="1"/>
  <c r="E55" i="13"/>
  <c r="F55" i="13" s="1"/>
  <c r="E54" i="13"/>
  <c r="F54" i="13" s="1"/>
  <c r="E57" i="13"/>
  <c r="F57" i="13" s="1"/>
  <c r="E58" i="13"/>
  <c r="F58" i="13" s="1"/>
  <c r="E49" i="13"/>
  <c r="F49" i="13" s="1"/>
  <c r="E53" i="13"/>
  <c r="F53" i="13" s="1"/>
  <c r="E51" i="13"/>
  <c r="F51" i="13" s="1"/>
  <c r="E59" i="13"/>
  <c r="F59" i="13" s="1"/>
  <c r="K238" i="2"/>
  <c r="L225" i="2" s="1"/>
  <c r="G62" i="28" s="1"/>
  <c r="E50" i="28"/>
  <c r="E64" i="29"/>
  <c r="E48" i="28"/>
  <c r="F85" i="1"/>
  <c r="J43" i="2"/>
  <c r="J27" i="2"/>
  <c r="J28" i="2" s="1"/>
  <c r="K143" i="2" l="1"/>
  <c r="D83" i="29"/>
  <c r="D75" i="44"/>
  <c r="F43" i="44"/>
  <c r="F44" i="44" s="1"/>
  <c r="I136" i="2"/>
  <c r="I137" i="2" s="1"/>
  <c r="I141" i="2" s="1"/>
  <c r="I150" i="2" s="1"/>
  <c r="E63" i="44"/>
  <c r="E64" i="44" s="1"/>
  <c r="E67" i="44" s="1"/>
  <c r="F61" i="44" s="1"/>
  <c r="E61" i="40"/>
  <c r="E76" i="44"/>
  <c r="D48" i="40"/>
  <c r="D49" i="40" s="1"/>
  <c r="H41" i="13"/>
  <c r="I41" i="13" s="1"/>
  <c r="H45" i="13"/>
  <c r="I45" i="13" s="1"/>
  <c r="H39" i="13"/>
  <c r="I39" i="13" s="1"/>
  <c r="H43" i="13"/>
  <c r="I43" i="13" s="1"/>
  <c r="H47" i="13"/>
  <c r="I47" i="13" s="1"/>
  <c r="H37" i="13"/>
  <c r="I37" i="13" s="1"/>
  <c r="H40" i="13"/>
  <c r="I40" i="13" s="1"/>
  <c r="H38" i="13"/>
  <c r="I38" i="13" s="1"/>
  <c r="H46" i="13"/>
  <c r="I46" i="13" s="1"/>
  <c r="H36" i="13"/>
  <c r="I36" i="13" s="1"/>
  <c r="J245" i="2"/>
  <c r="G56" i="13" s="1"/>
  <c r="H42" i="13"/>
  <c r="I42" i="13" s="1"/>
  <c r="H44" i="13"/>
  <c r="I44" i="13" s="1"/>
  <c r="K231" i="2"/>
  <c r="K232" i="2" s="1"/>
  <c r="J35" i="2"/>
  <c r="J36" i="2" s="1"/>
  <c r="J40" i="2" s="1"/>
  <c r="J44" i="2" s="1"/>
  <c r="F80" i="32"/>
  <c r="F81" i="32" s="1"/>
  <c r="F72" i="32" s="1"/>
  <c r="F41" i="32"/>
  <c r="E66" i="32"/>
  <c r="K23" i="2"/>
  <c r="D58" i="34"/>
  <c r="D53" i="34"/>
  <c r="D56" i="34"/>
  <c r="D54" i="34"/>
  <c r="D48" i="34"/>
  <c r="D49" i="34"/>
  <c r="D50" i="34"/>
  <c r="D55" i="34"/>
  <c r="D57" i="34"/>
  <c r="J196" i="2"/>
  <c r="D59" i="34"/>
  <c r="D52" i="34"/>
  <c r="K228" i="2"/>
  <c r="K240" i="2"/>
  <c r="G64" i="28"/>
  <c r="G65" i="28" s="1"/>
  <c r="G57" i="28" s="1"/>
  <c r="K233" i="2"/>
  <c r="L241" i="2" s="1"/>
  <c r="D62" i="13"/>
  <c r="D66" i="13"/>
  <c r="D72" i="13"/>
  <c r="D60" i="13"/>
  <c r="G43" i="28"/>
  <c r="G44" i="28" s="1"/>
  <c r="G45" i="28" s="1"/>
  <c r="L227" i="2" s="1"/>
  <c r="L243" i="2" s="1"/>
  <c r="D71" i="13"/>
  <c r="D64" i="13"/>
  <c r="D63" i="13"/>
  <c r="D69" i="13"/>
  <c r="D61" i="13"/>
  <c r="D68" i="13"/>
  <c r="D67" i="13"/>
  <c r="D65" i="13"/>
  <c r="D70" i="13"/>
  <c r="E51" i="28"/>
  <c r="E67" i="29"/>
  <c r="E100" i="1"/>
  <c r="K39" i="2"/>
  <c r="L26" i="2" s="1"/>
  <c r="D80" i="1"/>
  <c r="H36" i="11" s="1"/>
  <c r="I36" i="11" s="1"/>
  <c r="D56" i="11"/>
  <c r="D52" i="11"/>
  <c r="D57" i="11"/>
  <c r="D51" i="11"/>
  <c r="D58" i="11"/>
  <c r="D54" i="11"/>
  <c r="D55" i="11"/>
  <c r="D61" i="11"/>
  <c r="D62" i="11"/>
  <c r="F87" i="1"/>
  <c r="D53" i="11"/>
  <c r="D60" i="11"/>
  <c r="D59" i="11"/>
  <c r="K126" i="2" l="1"/>
  <c r="D84" i="29"/>
  <c r="D85" i="29" s="1"/>
  <c r="D41" i="29" s="1"/>
  <c r="D54" i="29" s="1"/>
  <c r="D55" i="29" s="1"/>
  <c r="D59" i="29" s="1"/>
  <c r="E35" i="24" s="1"/>
  <c r="F35" i="24" s="1"/>
  <c r="I93" i="2"/>
  <c r="I112" i="2" s="1"/>
  <c r="E46" i="46"/>
  <c r="E45" i="46"/>
  <c r="E44" i="46"/>
  <c r="D49" i="46"/>
  <c r="D53" i="46"/>
  <c r="D57" i="46"/>
  <c r="D59" i="46"/>
  <c r="D52" i="46"/>
  <c r="D50" i="46"/>
  <c r="D54" i="46"/>
  <c r="D58" i="46"/>
  <c r="D55" i="46"/>
  <c r="D56" i="46"/>
  <c r="D51" i="46"/>
  <c r="D48" i="46"/>
  <c r="E39" i="46"/>
  <c r="E47" i="46"/>
  <c r="E43" i="46"/>
  <c r="E42" i="46"/>
  <c r="E41" i="46"/>
  <c r="E40" i="46"/>
  <c r="I151" i="2"/>
  <c r="H27" i="46"/>
  <c r="H31" i="46"/>
  <c r="H35" i="46"/>
  <c r="H34" i="46"/>
  <c r="H24" i="46"/>
  <c r="H28" i="46"/>
  <c r="H32" i="46"/>
  <c r="H26" i="46"/>
  <c r="H25" i="46"/>
  <c r="H29" i="46"/>
  <c r="H33" i="46"/>
  <c r="H30" i="46"/>
  <c r="E38" i="46"/>
  <c r="E37" i="46"/>
  <c r="E36" i="46"/>
  <c r="D79" i="44"/>
  <c r="E65" i="44"/>
  <c r="J129" i="2" s="1"/>
  <c r="J149" i="2" s="1"/>
  <c r="D53" i="40"/>
  <c r="D54" i="40" s="1"/>
  <c r="D57" i="40" s="1"/>
  <c r="E51" i="40" s="1"/>
  <c r="G48" i="13"/>
  <c r="G52" i="13"/>
  <c r="G55" i="13"/>
  <c r="G51" i="13"/>
  <c r="G59" i="13"/>
  <c r="G58" i="13"/>
  <c r="G53" i="13"/>
  <c r="E53" i="28"/>
  <c r="G57" i="13"/>
  <c r="G49" i="13"/>
  <c r="G50" i="13"/>
  <c r="G54" i="13"/>
  <c r="K234" i="2"/>
  <c r="K235" i="2" s="1"/>
  <c r="K239" i="2" s="1"/>
  <c r="K244" i="2" s="1"/>
  <c r="L193" i="2"/>
  <c r="L213" i="2" s="1"/>
  <c r="G40" i="32" s="1"/>
  <c r="J202" i="2"/>
  <c r="J203" i="2" s="1"/>
  <c r="J209" i="2" s="1"/>
  <c r="J216" i="2" s="1"/>
  <c r="J217" i="2" s="1"/>
  <c r="E68" i="32" s="1"/>
  <c r="K32" i="2"/>
  <c r="K33" i="2" s="1"/>
  <c r="N50" i="11"/>
  <c r="O50" i="11" s="1"/>
  <c r="N49" i="11"/>
  <c r="O49" i="11" s="1"/>
  <c r="N45" i="11"/>
  <c r="O45" i="11" s="1"/>
  <c r="N41" i="11"/>
  <c r="O41" i="11" s="1"/>
  <c r="N43" i="11"/>
  <c r="O43" i="11" s="1"/>
  <c r="N46" i="11"/>
  <c r="O46" i="11" s="1"/>
  <c r="N39" i="11"/>
  <c r="O39" i="11" s="1"/>
  <c r="N48" i="11"/>
  <c r="O48" i="11" s="1"/>
  <c r="N40" i="11"/>
  <c r="O40" i="11" s="1"/>
  <c r="N44" i="11"/>
  <c r="O44" i="11" s="1"/>
  <c r="N42" i="11"/>
  <c r="O42" i="11" s="1"/>
  <c r="J45" i="2"/>
  <c r="E80" i="44" s="1"/>
  <c r="N47" i="11"/>
  <c r="O47" i="11" s="1"/>
  <c r="L238" i="2"/>
  <c r="L240" i="2" s="1"/>
  <c r="L222" i="2"/>
  <c r="E65" i="32"/>
  <c r="K188" i="2"/>
  <c r="K208" i="2"/>
  <c r="K205" i="2" s="1"/>
  <c r="F50" i="28"/>
  <c r="E72" i="13"/>
  <c r="F72" i="13" s="1"/>
  <c r="F74" i="13" s="1"/>
  <c r="F75" i="13" s="1"/>
  <c r="E64" i="13"/>
  <c r="F64" i="13" s="1"/>
  <c r="E66" i="13"/>
  <c r="F66" i="13" s="1"/>
  <c r="E71" i="13"/>
  <c r="F71" i="13" s="1"/>
  <c r="E65" i="13"/>
  <c r="F65" i="13" s="1"/>
  <c r="E67" i="13"/>
  <c r="F67" i="13" s="1"/>
  <c r="E62" i="13"/>
  <c r="F62" i="13" s="1"/>
  <c r="E61" i="13"/>
  <c r="F61" i="13" s="1"/>
  <c r="E68" i="13"/>
  <c r="F68" i="13" s="1"/>
  <c r="E60" i="13"/>
  <c r="F60" i="13" s="1"/>
  <c r="F6" i="13" s="1"/>
  <c r="F7" i="13" s="1"/>
  <c r="E69" i="13"/>
  <c r="F69" i="13" s="1"/>
  <c r="E63" i="13"/>
  <c r="F63" i="13" s="1"/>
  <c r="E70" i="13"/>
  <c r="F70" i="13" s="1"/>
  <c r="G47" i="28"/>
  <c r="F82" i="32"/>
  <c r="F43" i="32" s="1"/>
  <c r="F88" i="1"/>
  <c r="F89" i="1" s="1"/>
  <c r="K43" i="2" s="1"/>
  <c r="H38" i="11"/>
  <c r="I38" i="11" s="1"/>
  <c r="H37" i="11"/>
  <c r="I37" i="11" s="1"/>
  <c r="H34" i="11"/>
  <c r="I34" i="11" s="1"/>
  <c r="H35" i="11"/>
  <c r="I35" i="11" s="1"/>
  <c r="D81" i="1"/>
  <c r="D82" i="1" s="1"/>
  <c r="I57" i="2" s="1"/>
  <c r="I50" i="2" s="1"/>
  <c r="E52" i="11"/>
  <c r="F52" i="11" s="1"/>
  <c r="E53" i="11"/>
  <c r="F53" i="11" s="1"/>
  <c r="E54" i="11"/>
  <c r="F54" i="11" s="1"/>
  <c r="E55" i="11"/>
  <c r="F55" i="11" s="1"/>
  <c r="E56" i="11"/>
  <c r="F56" i="11" s="1"/>
  <c r="E59" i="11"/>
  <c r="F59" i="11" s="1"/>
  <c r="E62" i="11"/>
  <c r="F62" i="11" s="1"/>
  <c r="E58" i="11"/>
  <c r="F58" i="11" s="1"/>
  <c r="E61" i="11"/>
  <c r="F61" i="11" s="1"/>
  <c r="E51" i="11"/>
  <c r="F51" i="11" s="1"/>
  <c r="E60" i="11"/>
  <c r="F60" i="11" s="1"/>
  <c r="E57" i="11"/>
  <c r="F57" i="11" s="1"/>
  <c r="H31" i="11"/>
  <c r="I31" i="11" s="1"/>
  <c r="H27" i="11"/>
  <c r="I27" i="11" s="1"/>
  <c r="H33" i="11"/>
  <c r="I33" i="11" s="1"/>
  <c r="K41" i="2"/>
  <c r="H30" i="11"/>
  <c r="I30" i="11" s="1"/>
  <c r="H28" i="11"/>
  <c r="I28" i="11" s="1"/>
  <c r="H29" i="11"/>
  <c r="I29" i="11" s="1"/>
  <c r="H32" i="11"/>
  <c r="I32" i="11" s="1"/>
  <c r="D73" i="29" l="1"/>
  <c r="G37" i="46"/>
  <c r="G41" i="46"/>
  <c r="G45" i="46"/>
  <c r="G44" i="46"/>
  <c r="G38" i="46"/>
  <c r="G42" i="46"/>
  <c r="G46" i="46"/>
  <c r="G36" i="46"/>
  <c r="G39" i="46"/>
  <c r="G43" i="46"/>
  <c r="G47" i="46"/>
  <c r="G40" i="46"/>
  <c r="F34" i="46"/>
  <c r="F30" i="46"/>
  <c r="F32" i="46"/>
  <c r="F31" i="46"/>
  <c r="F29" i="46"/>
  <c r="F25" i="46"/>
  <c r="F35" i="46"/>
  <c r="F27" i="46"/>
  <c r="F28" i="46"/>
  <c r="F33" i="46"/>
  <c r="F26" i="46"/>
  <c r="F24" i="46"/>
  <c r="E27" i="42"/>
  <c r="F27" i="42" s="1"/>
  <c r="E35" i="42"/>
  <c r="F35" i="42" s="1"/>
  <c r="E24" i="42"/>
  <c r="F24" i="42" s="1"/>
  <c r="E31" i="42"/>
  <c r="F31" i="42" s="1"/>
  <c r="E34" i="42"/>
  <c r="F34" i="42" s="1"/>
  <c r="E33" i="42"/>
  <c r="F33" i="42" s="1"/>
  <c r="E32" i="42"/>
  <c r="F32" i="42" s="1"/>
  <c r="E30" i="42"/>
  <c r="F30" i="42" s="1"/>
  <c r="E29" i="42"/>
  <c r="F29" i="42" s="1"/>
  <c r="D38" i="42"/>
  <c r="D42" i="42"/>
  <c r="D46" i="42"/>
  <c r="D39" i="42"/>
  <c r="D43" i="42"/>
  <c r="D47" i="42"/>
  <c r="D37" i="42"/>
  <c r="D41" i="42"/>
  <c r="D45" i="42"/>
  <c r="D44" i="42"/>
  <c r="D36" i="42"/>
  <c r="D40" i="42"/>
  <c r="E28" i="42"/>
  <c r="F28" i="42" s="1"/>
  <c r="E26" i="42"/>
  <c r="F26" i="42" s="1"/>
  <c r="E25" i="42"/>
  <c r="F25" i="42" s="1"/>
  <c r="E69" i="32"/>
  <c r="E64" i="40"/>
  <c r="D55" i="40"/>
  <c r="I163" i="2" s="1"/>
  <c r="M56" i="11"/>
  <c r="H42" i="34"/>
  <c r="I42" i="34" s="1"/>
  <c r="E54" i="28"/>
  <c r="M61" i="11"/>
  <c r="L231" i="2"/>
  <c r="L232" i="2" s="1"/>
  <c r="G57" i="34"/>
  <c r="H44" i="34"/>
  <c r="I44" i="34" s="1"/>
  <c r="G52" i="34"/>
  <c r="G51" i="34"/>
  <c r="H39" i="34"/>
  <c r="I39" i="34" s="1"/>
  <c r="G56" i="34"/>
  <c r="G55" i="34"/>
  <c r="G50" i="34"/>
  <c r="H46" i="34"/>
  <c r="I46" i="34" s="1"/>
  <c r="H40" i="34"/>
  <c r="I40" i="34" s="1"/>
  <c r="H38" i="34"/>
  <c r="I38" i="34" s="1"/>
  <c r="G48" i="34"/>
  <c r="G58" i="34"/>
  <c r="G53" i="34"/>
  <c r="H36" i="34"/>
  <c r="I36" i="34" s="1"/>
  <c r="H43" i="34"/>
  <c r="I43" i="34" s="1"/>
  <c r="H37" i="34"/>
  <c r="I37" i="34" s="1"/>
  <c r="G59" i="34"/>
  <c r="G54" i="34"/>
  <c r="G49" i="34"/>
  <c r="H41" i="34"/>
  <c r="I41" i="34" s="1"/>
  <c r="H47" i="34"/>
  <c r="I47" i="34" s="1"/>
  <c r="H45" i="34"/>
  <c r="I45" i="34" s="1"/>
  <c r="E70" i="29"/>
  <c r="M51" i="11"/>
  <c r="M60" i="11"/>
  <c r="M58" i="11"/>
  <c r="M54" i="11"/>
  <c r="K199" i="2"/>
  <c r="K200" i="2" s="1"/>
  <c r="M57" i="11"/>
  <c r="M52" i="11"/>
  <c r="M62" i="11"/>
  <c r="E104" i="1"/>
  <c r="M55" i="11"/>
  <c r="M53" i="11"/>
  <c r="M59" i="11"/>
  <c r="K34" i="2"/>
  <c r="L42" i="2" s="1"/>
  <c r="G77" i="32"/>
  <c r="F108" i="1"/>
  <c r="G78" i="32"/>
  <c r="L228" i="2"/>
  <c r="G50" i="28" s="1"/>
  <c r="I50" i="28" s="1"/>
  <c r="E34" i="24"/>
  <c r="F34" i="24" s="1"/>
  <c r="E31" i="24"/>
  <c r="F31" i="24" s="1"/>
  <c r="E30" i="24"/>
  <c r="F30" i="24" s="1"/>
  <c r="E25" i="24"/>
  <c r="F25" i="24" s="1"/>
  <c r="E26" i="24"/>
  <c r="F26" i="24" s="1"/>
  <c r="E24" i="24"/>
  <c r="F24" i="24" s="1"/>
  <c r="E29" i="24"/>
  <c r="F29" i="24" s="1"/>
  <c r="E27" i="24"/>
  <c r="F27" i="24" s="1"/>
  <c r="E32" i="24"/>
  <c r="F32" i="24" s="1"/>
  <c r="D60" i="29"/>
  <c r="D61" i="29" s="1"/>
  <c r="I95" i="2" s="1"/>
  <c r="I115" i="2" s="1"/>
  <c r="E28" i="24"/>
  <c r="F28" i="24" s="1"/>
  <c r="E33" i="24"/>
  <c r="F33" i="24" s="1"/>
  <c r="J111" i="2"/>
  <c r="E38" i="29"/>
  <c r="F53" i="32"/>
  <c r="F54" i="32" s="1"/>
  <c r="F58" i="32" s="1"/>
  <c r="F59" i="32" s="1"/>
  <c r="K210" i="2"/>
  <c r="G37" i="32"/>
  <c r="G39" i="32" s="1"/>
  <c r="L191" i="2" s="1"/>
  <c r="H49" i="13"/>
  <c r="I49" i="13" s="1"/>
  <c r="H51" i="13"/>
  <c r="I51" i="13" s="1"/>
  <c r="H59" i="13"/>
  <c r="I59" i="13" s="1"/>
  <c r="H58" i="13"/>
  <c r="I58" i="13" s="1"/>
  <c r="H54" i="13"/>
  <c r="I54" i="13" s="1"/>
  <c r="H53" i="13"/>
  <c r="I53" i="13" s="1"/>
  <c r="H57" i="13"/>
  <c r="I57" i="13" s="1"/>
  <c r="H56" i="13"/>
  <c r="I56" i="13" s="1"/>
  <c r="K245" i="2"/>
  <c r="H48" i="13"/>
  <c r="I48" i="13" s="1"/>
  <c r="H52" i="13"/>
  <c r="I52" i="13" s="1"/>
  <c r="H55" i="13"/>
  <c r="I55" i="13" s="1"/>
  <c r="H50" i="13"/>
  <c r="I50" i="13" s="1"/>
  <c r="F90" i="1"/>
  <c r="K27" i="2"/>
  <c r="K28" i="2" s="1"/>
  <c r="D84" i="1"/>
  <c r="I78" i="2"/>
  <c r="I70" i="2"/>
  <c r="I59" i="2"/>
  <c r="E77" i="44" s="1"/>
  <c r="F68" i="40" l="1"/>
  <c r="F84" i="44"/>
  <c r="I63" i="2"/>
  <c r="I64" i="2" s="1"/>
  <c r="F61" i="40"/>
  <c r="F76" i="44"/>
  <c r="I181" i="2"/>
  <c r="I164" i="2"/>
  <c r="F63" i="32"/>
  <c r="F58" i="40"/>
  <c r="K35" i="2"/>
  <c r="K36" i="2" s="1"/>
  <c r="K40" i="2" s="1"/>
  <c r="K44" i="2" s="1"/>
  <c r="G80" i="32"/>
  <c r="G81" i="32" s="1"/>
  <c r="F73" i="32"/>
  <c r="F74" i="29"/>
  <c r="F58" i="28"/>
  <c r="G41" i="32"/>
  <c r="F66" i="32"/>
  <c r="L23" i="2"/>
  <c r="D63" i="29"/>
  <c r="E57" i="29" s="1"/>
  <c r="I96" i="2"/>
  <c r="E39" i="29"/>
  <c r="E79" i="29" s="1"/>
  <c r="E58" i="34"/>
  <c r="E52" i="34"/>
  <c r="E54" i="34"/>
  <c r="E49" i="34"/>
  <c r="E59" i="34"/>
  <c r="E53" i="34"/>
  <c r="E50" i="34"/>
  <c r="E56" i="34"/>
  <c r="E55" i="34"/>
  <c r="E57" i="34"/>
  <c r="E48" i="34"/>
  <c r="E51" i="34"/>
  <c r="G60" i="13"/>
  <c r="G63" i="13"/>
  <c r="G65" i="13"/>
  <c r="G70" i="13"/>
  <c r="G66" i="13"/>
  <c r="G72" i="13"/>
  <c r="G64" i="13"/>
  <c r="G62" i="13"/>
  <c r="G61" i="13"/>
  <c r="G69" i="13"/>
  <c r="G71" i="13"/>
  <c r="G68" i="13"/>
  <c r="F53" i="28"/>
  <c r="G67" i="13"/>
  <c r="F62" i="32"/>
  <c r="G56" i="32" s="1"/>
  <c r="F60" i="32"/>
  <c r="K195" i="2" s="1"/>
  <c r="F64" i="29"/>
  <c r="F48" i="28"/>
  <c r="G85" i="1"/>
  <c r="E78" i="1"/>
  <c r="D99" i="1"/>
  <c r="E101" i="1" s="1"/>
  <c r="K60" i="2"/>
  <c r="E114" i="1"/>
  <c r="F100" i="1"/>
  <c r="F67" i="29"/>
  <c r="F51" i="28"/>
  <c r="L39" i="2"/>
  <c r="K92" i="2" l="1"/>
  <c r="K109" i="2"/>
  <c r="K145" i="2"/>
  <c r="E93" i="44"/>
  <c r="E83" i="44" s="1"/>
  <c r="F58" i="1"/>
  <c r="F59" i="1" s="1"/>
  <c r="I170" i="2"/>
  <c r="I171" i="2" s="1"/>
  <c r="I175" i="2" s="1"/>
  <c r="I182" i="2" s="1"/>
  <c r="D60" i="40"/>
  <c r="J156" i="2"/>
  <c r="J174" i="2"/>
  <c r="J161" i="2"/>
  <c r="J179" i="2" s="1"/>
  <c r="E34" i="40" s="1"/>
  <c r="J160" i="2"/>
  <c r="D38" i="24"/>
  <c r="I102" i="2"/>
  <c r="I103" i="2" s="1"/>
  <c r="I107" i="2" s="1"/>
  <c r="I116" i="2" s="1"/>
  <c r="L233" i="2"/>
  <c r="L234" i="2" s="1"/>
  <c r="L235" i="2" s="1"/>
  <c r="L239" i="2" s="1"/>
  <c r="L244" i="2" s="1"/>
  <c r="L32" i="2"/>
  <c r="N59" i="11"/>
  <c r="O59" i="11" s="1"/>
  <c r="N58" i="11"/>
  <c r="O58" i="11" s="1"/>
  <c r="N51" i="11"/>
  <c r="O51" i="11" s="1"/>
  <c r="N60" i="11"/>
  <c r="O60" i="11" s="1"/>
  <c r="N55" i="11"/>
  <c r="O55" i="11" s="1"/>
  <c r="N56" i="11"/>
  <c r="O56" i="11" s="1"/>
  <c r="N54" i="11"/>
  <c r="O54" i="11" s="1"/>
  <c r="N61" i="11"/>
  <c r="O61" i="11" s="1"/>
  <c r="N62" i="11"/>
  <c r="O62" i="11" s="1"/>
  <c r="N52" i="11"/>
  <c r="O52" i="11" s="1"/>
  <c r="K45" i="2"/>
  <c r="F80" i="44" s="1"/>
  <c r="L33" i="2"/>
  <c r="N57" i="11"/>
  <c r="O57" i="11" s="1"/>
  <c r="N53" i="11"/>
  <c r="O53" i="11" s="1"/>
  <c r="D47" i="24"/>
  <c r="D36" i="24"/>
  <c r="D40" i="24"/>
  <c r="J88" i="2"/>
  <c r="D43" i="24"/>
  <c r="D44" i="24"/>
  <c r="D41" i="24"/>
  <c r="D45" i="24"/>
  <c r="D39" i="24"/>
  <c r="D42" i="24"/>
  <c r="D46" i="24"/>
  <c r="D37" i="24"/>
  <c r="J106" i="2"/>
  <c r="D66" i="29"/>
  <c r="J55" i="2"/>
  <c r="D65" i="34"/>
  <c r="D66" i="34"/>
  <c r="D63" i="34"/>
  <c r="D71" i="34"/>
  <c r="D67" i="34"/>
  <c r="D60" i="34"/>
  <c r="D64" i="34"/>
  <c r="D68" i="34"/>
  <c r="D72" i="34"/>
  <c r="D61" i="34"/>
  <c r="D69" i="34"/>
  <c r="D62" i="34"/>
  <c r="D70" i="34"/>
  <c r="K215" i="2"/>
  <c r="K196" i="2"/>
  <c r="K202" i="2" s="1"/>
  <c r="K203" i="2" s="1"/>
  <c r="K209" i="2" s="1"/>
  <c r="F53" i="34"/>
  <c r="F49" i="34"/>
  <c r="F54" i="34"/>
  <c r="F59" i="34"/>
  <c r="F51" i="34"/>
  <c r="F56" i="34"/>
  <c r="F57" i="34"/>
  <c r="F50" i="34"/>
  <c r="F48" i="34"/>
  <c r="F52" i="34"/>
  <c r="F58" i="34"/>
  <c r="F55" i="34"/>
  <c r="G72" i="32"/>
  <c r="D66" i="11"/>
  <c r="D68" i="11"/>
  <c r="D69" i="11"/>
  <c r="D64" i="11"/>
  <c r="D67" i="11"/>
  <c r="G87" i="1"/>
  <c r="G88" i="1" s="1"/>
  <c r="G89" i="1" s="1"/>
  <c r="D65" i="11"/>
  <c r="D63" i="11"/>
  <c r="D75" i="11"/>
  <c r="D71" i="11"/>
  <c r="D73" i="11"/>
  <c r="D72" i="11"/>
  <c r="D74" i="11"/>
  <c r="D70" i="11"/>
  <c r="L41" i="2"/>
  <c r="G46" i="11"/>
  <c r="G45" i="11"/>
  <c r="G47" i="11"/>
  <c r="G50" i="11"/>
  <c r="G44" i="11"/>
  <c r="G43" i="11"/>
  <c r="G49" i="11"/>
  <c r="G40" i="11"/>
  <c r="G42" i="11"/>
  <c r="G48" i="11"/>
  <c r="G41" i="11"/>
  <c r="G39" i="11"/>
  <c r="H34" i="24" l="1"/>
  <c r="I34" i="24" s="1"/>
  <c r="I33" i="46"/>
  <c r="I35" i="46"/>
  <c r="I32" i="46"/>
  <c r="I24" i="46"/>
  <c r="I28" i="46"/>
  <c r="I25" i="46"/>
  <c r="I26" i="46"/>
  <c r="I27" i="46"/>
  <c r="I29" i="46"/>
  <c r="I30" i="46"/>
  <c r="I34" i="46"/>
  <c r="I31" i="46"/>
  <c r="J76" i="2"/>
  <c r="K53" i="2"/>
  <c r="K74" i="2" s="1"/>
  <c r="F88" i="44"/>
  <c r="G108" i="1"/>
  <c r="F112" i="1"/>
  <c r="F62" i="1" s="1"/>
  <c r="I183" i="2"/>
  <c r="H24" i="42"/>
  <c r="I24" i="42" s="1"/>
  <c r="H28" i="42"/>
  <c r="I28" i="42" s="1"/>
  <c r="H32" i="42"/>
  <c r="I32" i="42" s="1"/>
  <c r="H25" i="42"/>
  <c r="I25" i="42" s="1"/>
  <c r="H29" i="42"/>
  <c r="I29" i="42" s="1"/>
  <c r="H33" i="42"/>
  <c r="I33" i="42" s="1"/>
  <c r="H27" i="42"/>
  <c r="I27" i="42" s="1"/>
  <c r="H31" i="42"/>
  <c r="I31" i="42" s="1"/>
  <c r="H35" i="42"/>
  <c r="I35" i="42" s="1"/>
  <c r="H26" i="42"/>
  <c r="I26" i="42" s="1"/>
  <c r="H30" i="42"/>
  <c r="I30" i="42" s="1"/>
  <c r="H34" i="42"/>
  <c r="I34" i="42" s="1"/>
  <c r="J178" i="2"/>
  <c r="E72" i="40"/>
  <c r="E74" i="40" s="1"/>
  <c r="E75" i="40" s="1"/>
  <c r="J167" i="2"/>
  <c r="J168" i="2" s="1"/>
  <c r="H30" i="24"/>
  <c r="I30" i="24" s="1"/>
  <c r="H32" i="24"/>
  <c r="I32" i="24" s="1"/>
  <c r="H27" i="24"/>
  <c r="I27" i="24" s="1"/>
  <c r="H24" i="24"/>
  <c r="I24" i="24" s="1"/>
  <c r="H33" i="24"/>
  <c r="I33" i="24" s="1"/>
  <c r="H25" i="24"/>
  <c r="I25" i="24" s="1"/>
  <c r="H31" i="24"/>
  <c r="I31" i="24" s="1"/>
  <c r="I117" i="2"/>
  <c r="J108" i="2" s="1"/>
  <c r="J101" i="2" s="1"/>
  <c r="H35" i="24"/>
  <c r="I35" i="24" s="1"/>
  <c r="F104" i="1"/>
  <c r="F64" i="40"/>
  <c r="H29" i="24"/>
  <c r="I29" i="24" s="1"/>
  <c r="H26" i="24"/>
  <c r="I26" i="24" s="1"/>
  <c r="H28" i="24"/>
  <c r="I28" i="24" s="1"/>
  <c r="K216" i="2"/>
  <c r="H59" i="34" s="1"/>
  <c r="I59" i="34" s="1"/>
  <c r="H64" i="13"/>
  <c r="I64" i="13" s="1"/>
  <c r="H71" i="13"/>
  <c r="I71" i="13" s="1"/>
  <c r="L245" i="2"/>
  <c r="G53" i="28" s="1"/>
  <c r="I53" i="28" s="1"/>
  <c r="H66" i="13"/>
  <c r="I66" i="13" s="1"/>
  <c r="H67" i="13"/>
  <c r="I67" i="13" s="1"/>
  <c r="H61" i="13"/>
  <c r="I61" i="13" s="1"/>
  <c r="H68" i="13"/>
  <c r="I68" i="13" s="1"/>
  <c r="H72" i="13"/>
  <c r="I72" i="13" s="1"/>
  <c r="I74" i="13" s="1"/>
  <c r="I75" i="13" s="1"/>
  <c r="H63" i="13"/>
  <c r="I63" i="13" s="1"/>
  <c r="H69" i="13"/>
  <c r="I69" i="13" s="1"/>
  <c r="H70" i="13"/>
  <c r="I70" i="13" s="1"/>
  <c r="H62" i="13"/>
  <c r="I62" i="13" s="1"/>
  <c r="H60" i="13"/>
  <c r="I60" i="13" s="1"/>
  <c r="H65" i="13"/>
  <c r="I65" i="13" s="1"/>
  <c r="J99" i="2"/>
  <c r="J100" i="2" s="1"/>
  <c r="M69" i="11"/>
  <c r="M67" i="11"/>
  <c r="M68" i="11"/>
  <c r="M64" i="11"/>
  <c r="M63" i="11"/>
  <c r="M71" i="11"/>
  <c r="F54" i="28"/>
  <c r="M66" i="11"/>
  <c r="M73" i="11"/>
  <c r="M75" i="11"/>
  <c r="M65" i="11"/>
  <c r="F69" i="32"/>
  <c r="M72" i="11"/>
  <c r="M74" i="11"/>
  <c r="M70" i="11"/>
  <c r="F70" i="29"/>
  <c r="L34" i="2"/>
  <c r="F65" i="32"/>
  <c r="L188" i="2"/>
  <c r="L208" i="2"/>
  <c r="G82" i="32"/>
  <c r="G43" i="32" s="1"/>
  <c r="G53" i="32" s="1"/>
  <c r="G90" i="1"/>
  <c r="L27" i="2"/>
  <c r="L28" i="2" s="1"/>
  <c r="G76" i="44" s="1"/>
  <c r="L43" i="2"/>
  <c r="E69" i="11"/>
  <c r="F69" i="11" s="1"/>
  <c r="E70" i="11"/>
  <c r="F70" i="11" s="1"/>
  <c r="E72" i="11"/>
  <c r="F72" i="11" s="1"/>
  <c r="E71" i="11"/>
  <c r="F71" i="11" s="1"/>
  <c r="E64" i="11"/>
  <c r="F64" i="11" s="1"/>
  <c r="E68" i="11"/>
  <c r="F68" i="11" s="1"/>
  <c r="E65" i="11"/>
  <c r="F65" i="11" s="1"/>
  <c r="E74" i="11"/>
  <c r="F74" i="11" s="1"/>
  <c r="E67" i="11"/>
  <c r="F67" i="11" s="1"/>
  <c r="E75" i="11"/>
  <c r="F75" i="11" s="1"/>
  <c r="F9" i="11" s="1"/>
  <c r="F10" i="11" s="1"/>
  <c r="E66" i="11"/>
  <c r="F66" i="11" s="1"/>
  <c r="E73" i="11"/>
  <c r="F73" i="11" s="1"/>
  <c r="E63" i="11"/>
  <c r="F63" i="11" s="1"/>
  <c r="F46" i="44" l="1"/>
  <c r="F90" i="44"/>
  <c r="F92" i="44" s="1"/>
  <c r="G40" i="24"/>
  <c r="G68" i="40"/>
  <c r="G84" i="44"/>
  <c r="J140" i="2"/>
  <c r="J142" i="2" s="1"/>
  <c r="J122" i="2"/>
  <c r="G58" i="28"/>
  <c r="F58" i="44"/>
  <c r="F59" i="44" s="1"/>
  <c r="G74" i="29"/>
  <c r="G73" i="32"/>
  <c r="J176" i="2"/>
  <c r="J169" i="2" s="1"/>
  <c r="D63" i="40"/>
  <c r="G38" i="42"/>
  <c r="G42" i="42"/>
  <c r="G46" i="42"/>
  <c r="G36" i="42"/>
  <c r="G44" i="42"/>
  <c r="G39" i="42"/>
  <c r="G43" i="42"/>
  <c r="G47" i="42"/>
  <c r="G37" i="42"/>
  <c r="G41" i="42"/>
  <c r="G45" i="42"/>
  <c r="G40" i="42"/>
  <c r="D69" i="29"/>
  <c r="G45" i="24"/>
  <c r="G43" i="24"/>
  <c r="G41" i="24"/>
  <c r="G47" i="24"/>
  <c r="G42" i="24"/>
  <c r="G38" i="24"/>
  <c r="G36" i="24"/>
  <c r="G37" i="24"/>
  <c r="G44" i="24"/>
  <c r="G46" i="24"/>
  <c r="G39" i="24"/>
  <c r="H50" i="34"/>
  <c r="I50" i="34" s="1"/>
  <c r="H55" i="34"/>
  <c r="I55" i="34" s="1"/>
  <c r="G63" i="32"/>
  <c r="G58" i="40"/>
  <c r="G66" i="32"/>
  <c r="G61" i="40"/>
  <c r="H56" i="34"/>
  <c r="I56" i="34" s="1"/>
  <c r="H57" i="34"/>
  <c r="I57" i="34" s="1"/>
  <c r="H52" i="34"/>
  <c r="I52" i="34" s="1"/>
  <c r="H51" i="34"/>
  <c r="I51" i="34" s="1"/>
  <c r="H58" i="34"/>
  <c r="I58" i="34" s="1"/>
  <c r="H53" i="34"/>
  <c r="I53" i="34" s="1"/>
  <c r="H48" i="34"/>
  <c r="I48" i="34" s="1"/>
  <c r="K217" i="2"/>
  <c r="F68" i="32" s="1"/>
  <c r="H54" i="34"/>
  <c r="I54" i="34" s="1"/>
  <c r="H49" i="34"/>
  <c r="I49" i="34" s="1"/>
  <c r="L199" i="2"/>
  <c r="L200" i="2" s="1"/>
  <c r="L35" i="2"/>
  <c r="L36" i="2" s="1"/>
  <c r="L40" i="2" s="1"/>
  <c r="L44" i="2" s="1"/>
  <c r="E75" i="1"/>
  <c r="E115" i="1"/>
  <c r="E118" i="1" s="1"/>
  <c r="E119" i="1" s="1"/>
  <c r="E120" i="1" s="1"/>
  <c r="L205" i="2"/>
  <c r="L210" i="2" s="1"/>
  <c r="G54" i="32"/>
  <c r="G64" i="29"/>
  <c r="G48" i="28"/>
  <c r="G67" i="29"/>
  <c r="G51" i="28"/>
  <c r="G100" i="1"/>
  <c r="K144" i="2" l="1"/>
  <c r="J130" i="2"/>
  <c r="L143" i="2" s="1"/>
  <c r="J133" i="2"/>
  <c r="J134" i="2" s="1"/>
  <c r="J135" i="2"/>
  <c r="F63" i="44"/>
  <c r="F64" i="44" s="1"/>
  <c r="G67" i="34"/>
  <c r="E67" i="40"/>
  <c r="G64" i="34"/>
  <c r="G63" i="34"/>
  <c r="G68" i="34"/>
  <c r="G69" i="34"/>
  <c r="E78" i="29"/>
  <c r="E80" i="29" s="1"/>
  <c r="E82" i="29" s="1"/>
  <c r="G62" i="34"/>
  <c r="G60" i="34"/>
  <c r="G70" i="34"/>
  <c r="G65" i="34"/>
  <c r="G72" i="34"/>
  <c r="G71" i="34"/>
  <c r="G66" i="34"/>
  <c r="G61" i="34"/>
  <c r="N74" i="11"/>
  <c r="O74" i="11" s="1"/>
  <c r="N70" i="11"/>
  <c r="O70" i="11" s="1"/>
  <c r="N68" i="11"/>
  <c r="O68" i="11" s="1"/>
  <c r="N64" i="11"/>
  <c r="O64" i="11" s="1"/>
  <c r="N75" i="11"/>
  <c r="O75" i="11" s="1"/>
  <c r="L45" i="2"/>
  <c r="G80" i="44" s="1"/>
  <c r="N72" i="11"/>
  <c r="O72" i="11" s="1"/>
  <c r="N71" i="11"/>
  <c r="O71" i="11" s="1"/>
  <c r="N63" i="11"/>
  <c r="O63" i="11" s="1"/>
  <c r="N73" i="11"/>
  <c r="O73" i="11" s="1"/>
  <c r="N69" i="11"/>
  <c r="O69" i="11" s="1"/>
  <c r="N67" i="11"/>
  <c r="O67" i="11" s="1"/>
  <c r="N65" i="11"/>
  <c r="O65" i="11" s="1"/>
  <c r="N66" i="11"/>
  <c r="O66" i="11" s="1"/>
  <c r="F38" i="29"/>
  <c r="K111" i="2"/>
  <c r="E76" i="1"/>
  <c r="E80" i="1" s="1"/>
  <c r="H42" i="11" s="1"/>
  <c r="I42" i="11" s="1"/>
  <c r="E121" i="1"/>
  <c r="J58" i="2" s="1"/>
  <c r="J79" i="2" s="1"/>
  <c r="E107" i="1"/>
  <c r="J83" i="2" s="1"/>
  <c r="G58" i="32"/>
  <c r="G59" i="32" s="1"/>
  <c r="G60" i="32" s="1"/>
  <c r="L195" i="2" s="1"/>
  <c r="E83" i="29" l="1"/>
  <c r="E57" i="46"/>
  <c r="E59" i="46"/>
  <c r="E51" i="46"/>
  <c r="E55" i="46"/>
  <c r="E58" i="46"/>
  <c r="E56" i="46"/>
  <c r="E54" i="46"/>
  <c r="E53" i="46"/>
  <c r="E52" i="46"/>
  <c r="E50" i="46"/>
  <c r="E49" i="46"/>
  <c r="E48" i="46"/>
  <c r="E75" i="44"/>
  <c r="G43" i="44"/>
  <c r="G44" i="44" s="1"/>
  <c r="J136" i="2"/>
  <c r="J137" i="2" s="1"/>
  <c r="J141" i="2" s="1"/>
  <c r="J150" i="2" s="1"/>
  <c r="F67" i="44"/>
  <c r="G61" i="44" s="1"/>
  <c r="F65" i="44"/>
  <c r="K129" i="2" s="1"/>
  <c r="K149" i="2" s="1"/>
  <c r="E48" i="40"/>
  <c r="E49" i="40" s="1"/>
  <c r="G69" i="32"/>
  <c r="G64" i="40"/>
  <c r="G70" i="29"/>
  <c r="O9" i="11"/>
  <c r="O10" i="11" s="1"/>
  <c r="G54" i="28"/>
  <c r="G104" i="1"/>
  <c r="F39" i="29"/>
  <c r="F79" i="29" s="1"/>
  <c r="E67" i="34"/>
  <c r="F67" i="34" s="1"/>
  <c r="E69" i="34"/>
  <c r="F69" i="34" s="1"/>
  <c r="E70" i="34"/>
  <c r="F70" i="34" s="1"/>
  <c r="E66" i="34"/>
  <c r="F66" i="34" s="1"/>
  <c r="E65" i="34"/>
  <c r="F65" i="34" s="1"/>
  <c r="E61" i="34"/>
  <c r="F61" i="34" s="1"/>
  <c r="E64" i="34"/>
  <c r="F64" i="34" s="1"/>
  <c r="G62" i="32"/>
  <c r="E62" i="34"/>
  <c r="F62" i="34" s="1"/>
  <c r="E72" i="34"/>
  <c r="F72" i="34" s="1"/>
  <c r="E68" i="34"/>
  <c r="F68" i="34" s="1"/>
  <c r="E60" i="34"/>
  <c r="F60" i="34" s="1"/>
  <c r="E71" i="34"/>
  <c r="F71" i="34" s="1"/>
  <c r="E63" i="34"/>
  <c r="F63" i="34" s="1"/>
  <c r="L215" i="2"/>
  <c r="L196" i="2"/>
  <c r="H43" i="11"/>
  <c r="I43" i="11" s="1"/>
  <c r="H44" i="11"/>
  <c r="I44" i="11" s="1"/>
  <c r="H45" i="11"/>
  <c r="I45" i="11" s="1"/>
  <c r="H46" i="11"/>
  <c r="I46" i="11" s="1"/>
  <c r="H40" i="11"/>
  <c r="I40" i="11" s="1"/>
  <c r="H50" i="11"/>
  <c r="I50" i="11" s="1"/>
  <c r="H39" i="11"/>
  <c r="I39" i="11" s="1"/>
  <c r="H48" i="11"/>
  <c r="I48" i="11" s="1"/>
  <c r="E81" i="1"/>
  <c r="E82" i="1" s="1"/>
  <c r="J57" i="2" s="1"/>
  <c r="J50" i="2" s="1"/>
  <c r="H47" i="11"/>
  <c r="I47" i="11" s="1"/>
  <c r="H49" i="11"/>
  <c r="I49" i="11" s="1"/>
  <c r="H41" i="11"/>
  <c r="I41" i="11" s="1"/>
  <c r="L126" i="2" l="1"/>
  <c r="E84" i="29"/>
  <c r="E85" i="29" s="1"/>
  <c r="E41" i="29" s="1"/>
  <c r="E54" i="29" s="1"/>
  <c r="E55" i="29" s="1"/>
  <c r="E59" i="29" s="1"/>
  <c r="E41" i="24" s="1"/>
  <c r="F41" i="24" s="1"/>
  <c r="J93" i="2"/>
  <c r="J112" i="2" s="1"/>
  <c r="D61" i="46"/>
  <c r="D65" i="46"/>
  <c r="D69" i="46"/>
  <c r="D71" i="46"/>
  <c r="D64" i="46"/>
  <c r="D62" i="46"/>
  <c r="D66" i="46"/>
  <c r="D70" i="46"/>
  <c r="D63" i="46"/>
  <c r="D67" i="46"/>
  <c r="D60" i="46"/>
  <c r="D72" i="46"/>
  <c r="D68" i="46"/>
  <c r="J151" i="2"/>
  <c r="E79" i="44" s="1"/>
  <c r="H39" i="46"/>
  <c r="H43" i="46"/>
  <c r="H47" i="46"/>
  <c r="H46" i="46"/>
  <c r="H36" i="46"/>
  <c r="H40" i="46"/>
  <c r="H44" i="46"/>
  <c r="H38" i="46"/>
  <c r="H37" i="46"/>
  <c r="H41" i="46"/>
  <c r="H45" i="46"/>
  <c r="H42" i="46"/>
  <c r="E53" i="40"/>
  <c r="E54" i="40" s="1"/>
  <c r="E55" i="40" s="1"/>
  <c r="J163" i="2" s="1"/>
  <c r="F78" i="29"/>
  <c r="F80" i="29" s="1"/>
  <c r="F82" i="29" s="1"/>
  <c r="G65" i="32"/>
  <c r="I65" i="32" s="1"/>
  <c r="L202" i="2"/>
  <c r="L203" i="2" s="1"/>
  <c r="L209" i="2" s="1"/>
  <c r="L216" i="2" s="1"/>
  <c r="F74" i="34"/>
  <c r="F75" i="34" s="1"/>
  <c r="F76" i="34" s="1"/>
  <c r="F6" i="34"/>
  <c r="F7" i="34" s="1"/>
  <c r="J78" i="2"/>
  <c r="J59" i="2"/>
  <c r="F77" i="44" s="1"/>
  <c r="J70" i="2"/>
  <c r="E84" i="1"/>
  <c r="E73" i="29" l="1"/>
  <c r="F83" i="29"/>
  <c r="G49" i="46"/>
  <c r="G53" i="46"/>
  <c r="G57" i="46"/>
  <c r="G56" i="46"/>
  <c r="G50" i="46"/>
  <c r="G54" i="46"/>
  <c r="G58" i="46"/>
  <c r="G52" i="46"/>
  <c r="G51" i="46"/>
  <c r="G55" i="46"/>
  <c r="G59" i="46"/>
  <c r="G48" i="46"/>
  <c r="F42" i="46"/>
  <c r="F38" i="46"/>
  <c r="F41" i="46"/>
  <c r="F47" i="46"/>
  <c r="F45" i="46"/>
  <c r="F44" i="46"/>
  <c r="F37" i="46"/>
  <c r="F46" i="46"/>
  <c r="F36" i="46"/>
  <c r="F40" i="46"/>
  <c r="F43" i="46"/>
  <c r="F39" i="46"/>
  <c r="E39" i="42"/>
  <c r="F39" i="42" s="1"/>
  <c r="J63" i="2"/>
  <c r="J64" i="2" s="1"/>
  <c r="E43" i="42"/>
  <c r="F43" i="42" s="1"/>
  <c r="E46" i="42"/>
  <c r="F46" i="42" s="1"/>
  <c r="E42" i="42"/>
  <c r="F42" i="42" s="1"/>
  <c r="E45" i="42"/>
  <c r="F45" i="42" s="1"/>
  <c r="E40" i="42"/>
  <c r="F40" i="42" s="1"/>
  <c r="E38" i="42"/>
  <c r="F38" i="42" s="1"/>
  <c r="E41" i="42"/>
  <c r="F41" i="42" s="1"/>
  <c r="E44" i="42"/>
  <c r="F44" i="42" s="1"/>
  <c r="E57" i="40"/>
  <c r="F51" i="40" s="1"/>
  <c r="D58" i="42" s="1"/>
  <c r="E36" i="42"/>
  <c r="F36" i="42" s="1"/>
  <c r="E47" i="42"/>
  <c r="F47" i="42" s="1"/>
  <c r="E37" i="42"/>
  <c r="F37" i="42" s="1"/>
  <c r="J181" i="2"/>
  <c r="J164" i="2"/>
  <c r="H71" i="34"/>
  <c r="I71" i="34" s="1"/>
  <c r="H72" i="34"/>
  <c r="I72" i="34" s="1"/>
  <c r="L217" i="2"/>
  <c r="G68" i="32" s="1"/>
  <c r="I68" i="32" s="1"/>
  <c r="H60" i="34"/>
  <c r="I60" i="34" s="1"/>
  <c r="H61" i="34"/>
  <c r="I61" i="34" s="1"/>
  <c r="H66" i="34"/>
  <c r="I66" i="34" s="1"/>
  <c r="H62" i="34"/>
  <c r="I62" i="34" s="1"/>
  <c r="H63" i="34"/>
  <c r="I63" i="34" s="1"/>
  <c r="H64" i="34"/>
  <c r="I64" i="34" s="1"/>
  <c r="H65" i="34"/>
  <c r="I65" i="34" s="1"/>
  <c r="H70" i="34"/>
  <c r="I70" i="34" s="1"/>
  <c r="H67" i="34"/>
  <c r="I67" i="34" s="1"/>
  <c r="H68" i="34"/>
  <c r="I68" i="34" s="1"/>
  <c r="H69" i="34"/>
  <c r="I69" i="34" s="1"/>
  <c r="E38" i="24"/>
  <c r="F38" i="24" s="1"/>
  <c r="E40" i="24"/>
  <c r="F40" i="24" s="1"/>
  <c r="E39" i="24"/>
  <c r="F39" i="24" s="1"/>
  <c r="E42" i="24"/>
  <c r="F42" i="24" s="1"/>
  <c r="E44" i="24"/>
  <c r="F44" i="24" s="1"/>
  <c r="E45" i="24"/>
  <c r="F45" i="24" s="1"/>
  <c r="E60" i="29"/>
  <c r="E61" i="29" s="1"/>
  <c r="J95" i="2" s="1"/>
  <c r="E36" i="24"/>
  <c r="F36" i="24" s="1"/>
  <c r="E47" i="24"/>
  <c r="F47" i="24" s="1"/>
  <c r="E43" i="24"/>
  <c r="F43" i="24" s="1"/>
  <c r="E46" i="24"/>
  <c r="F46" i="24" s="1"/>
  <c r="E37" i="24"/>
  <c r="F37" i="24" s="1"/>
  <c r="F114" i="1"/>
  <c r="F78" i="1"/>
  <c r="E99" i="1"/>
  <c r="F101" i="1" s="1"/>
  <c r="L60" i="2"/>
  <c r="F84" i="29" l="1"/>
  <c r="F85" i="29" s="1"/>
  <c r="F41" i="29" s="1"/>
  <c r="F54" i="29" s="1"/>
  <c r="F55" i="29" s="1"/>
  <c r="K93" i="2"/>
  <c r="K112" i="2" s="1"/>
  <c r="D50" i="42"/>
  <c r="L145" i="2"/>
  <c r="D55" i="42"/>
  <c r="G58" i="1"/>
  <c r="G112" i="1" s="1"/>
  <c r="F93" i="44"/>
  <c r="F83" i="44" s="1"/>
  <c r="D57" i="42"/>
  <c r="D48" i="42"/>
  <c r="D59" i="42"/>
  <c r="D54" i="42"/>
  <c r="D56" i="42"/>
  <c r="D53" i="42"/>
  <c r="D51" i="42"/>
  <c r="D52" i="42"/>
  <c r="D49" i="42"/>
  <c r="J170" i="2"/>
  <c r="J171" i="2" s="1"/>
  <c r="J175" i="2" s="1"/>
  <c r="J182" i="2" s="1"/>
  <c r="E60" i="40"/>
  <c r="K174" i="2"/>
  <c r="K156" i="2"/>
  <c r="K160" i="2"/>
  <c r="K161" i="2"/>
  <c r="K179" i="2" s="1"/>
  <c r="F34" i="40" s="1"/>
  <c r="J115" i="2"/>
  <c r="J96" i="2"/>
  <c r="E63" i="29"/>
  <c r="F57" i="29" s="1"/>
  <c r="K55" i="2"/>
  <c r="G58" i="11"/>
  <c r="G59" i="11"/>
  <c r="G60" i="11"/>
  <c r="G52" i="11"/>
  <c r="G54" i="11"/>
  <c r="G57" i="11"/>
  <c r="G56" i="11"/>
  <c r="G62" i="11"/>
  <c r="G61" i="11"/>
  <c r="G55" i="11"/>
  <c r="G51" i="11"/>
  <c r="G53" i="11"/>
  <c r="L92" i="2" l="1"/>
  <c r="L109" i="2"/>
  <c r="F73" i="29"/>
  <c r="K76" i="2"/>
  <c r="G88" i="44"/>
  <c r="G59" i="1"/>
  <c r="L53" i="2" s="1"/>
  <c r="L74" i="2" s="1"/>
  <c r="J183" i="2"/>
  <c r="H36" i="42"/>
  <c r="H40" i="42"/>
  <c r="H44" i="42"/>
  <c r="H38" i="42"/>
  <c r="H46" i="42"/>
  <c r="H37" i="42"/>
  <c r="H41" i="42"/>
  <c r="H45" i="42"/>
  <c r="H39" i="42"/>
  <c r="H43" i="42"/>
  <c r="H47" i="42"/>
  <c r="H42" i="42"/>
  <c r="K178" i="2"/>
  <c r="F72" i="40"/>
  <c r="F74" i="40" s="1"/>
  <c r="F48" i="40"/>
  <c r="F49" i="40" s="1"/>
  <c r="K167" i="2"/>
  <c r="K168" i="2" s="1"/>
  <c r="F59" i="29"/>
  <c r="J102" i="2"/>
  <c r="J103" i="2" s="1"/>
  <c r="J107" i="2" s="1"/>
  <c r="J116" i="2" s="1"/>
  <c r="D55" i="24"/>
  <c r="D52" i="24"/>
  <c r="D48" i="24"/>
  <c r="D51" i="24"/>
  <c r="D54" i="24"/>
  <c r="D59" i="24"/>
  <c r="D56" i="24"/>
  <c r="D57" i="24"/>
  <c r="D58" i="24"/>
  <c r="D49" i="24"/>
  <c r="D50" i="24"/>
  <c r="D53" i="24"/>
  <c r="K88" i="2"/>
  <c r="E66" i="29"/>
  <c r="K106" i="2"/>
  <c r="G62" i="1"/>
  <c r="G46" i="44" l="1"/>
  <c r="G58" i="44" s="1"/>
  <c r="G59" i="44" s="1"/>
  <c r="G90" i="44"/>
  <c r="G92" i="44" s="1"/>
  <c r="I39" i="46"/>
  <c r="I44" i="46"/>
  <c r="I36" i="46"/>
  <c r="I41" i="46"/>
  <c r="I43" i="46"/>
  <c r="I46" i="46"/>
  <c r="I45" i="46"/>
  <c r="I38" i="46"/>
  <c r="I40" i="46"/>
  <c r="I37" i="46"/>
  <c r="I47" i="46"/>
  <c r="I42" i="46"/>
  <c r="E55" i="24"/>
  <c r="F55" i="24" s="1"/>
  <c r="F49" i="46"/>
  <c r="F59" i="46"/>
  <c r="F58" i="46"/>
  <c r="F50" i="46"/>
  <c r="F48" i="46"/>
  <c r="F51" i="46"/>
  <c r="F52" i="46"/>
  <c r="F53" i="46"/>
  <c r="F54" i="46"/>
  <c r="F56" i="46"/>
  <c r="F57" i="46"/>
  <c r="F55" i="46"/>
  <c r="K140" i="2"/>
  <c r="K142" i="2" s="1"/>
  <c r="K122" i="2"/>
  <c r="K176" i="2"/>
  <c r="K169" i="2" s="1"/>
  <c r="F53" i="40"/>
  <c r="F54" i="40" s="1"/>
  <c r="F57" i="40" s="1"/>
  <c r="G51" i="40" s="1"/>
  <c r="F75" i="40"/>
  <c r="F67" i="40" s="1"/>
  <c r="E63" i="40"/>
  <c r="G50" i="42"/>
  <c r="G54" i="42"/>
  <c r="G58" i="42"/>
  <c r="G56" i="42"/>
  <c r="G51" i="42"/>
  <c r="G55" i="42"/>
  <c r="G59" i="42"/>
  <c r="G49" i="42"/>
  <c r="G53" i="42"/>
  <c r="G57" i="42"/>
  <c r="G48" i="42"/>
  <c r="G52" i="42"/>
  <c r="F60" i="29"/>
  <c r="F61" i="29" s="1"/>
  <c r="K95" i="2" s="1"/>
  <c r="K115" i="2" s="1"/>
  <c r="E56" i="24"/>
  <c r="F56" i="24" s="1"/>
  <c r="E53" i="24"/>
  <c r="F53" i="24" s="1"/>
  <c r="E57" i="24"/>
  <c r="F57" i="24" s="1"/>
  <c r="E51" i="24"/>
  <c r="F51" i="24" s="1"/>
  <c r="E50" i="24"/>
  <c r="F50" i="24" s="1"/>
  <c r="E52" i="24"/>
  <c r="F52" i="24" s="1"/>
  <c r="E58" i="24"/>
  <c r="F58" i="24" s="1"/>
  <c r="E54" i="24"/>
  <c r="F54" i="24" s="1"/>
  <c r="E48" i="24"/>
  <c r="F48" i="24" s="1"/>
  <c r="E59" i="24"/>
  <c r="F59" i="24" s="1"/>
  <c r="E49" i="24"/>
  <c r="F49" i="24" s="1"/>
  <c r="H46" i="24"/>
  <c r="I46" i="24" s="1"/>
  <c r="I37" i="42"/>
  <c r="I41" i="42"/>
  <c r="I46" i="42"/>
  <c r="I38" i="42"/>
  <c r="I40" i="42"/>
  <c r="I47" i="42"/>
  <c r="I39" i="42"/>
  <c r="I43" i="42"/>
  <c r="I42" i="42"/>
  <c r="I36" i="42"/>
  <c r="I45" i="42"/>
  <c r="I44" i="42"/>
  <c r="H42" i="24"/>
  <c r="I42" i="24" s="1"/>
  <c r="K99" i="2"/>
  <c r="K100" i="2" s="1"/>
  <c r="H41" i="24"/>
  <c r="I41" i="24" s="1"/>
  <c r="H47" i="24"/>
  <c r="I47" i="24" s="1"/>
  <c r="H44" i="24"/>
  <c r="I44" i="24" s="1"/>
  <c r="H36" i="24"/>
  <c r="I36" i="24" s="1"/>
  <c r="H40" i="24"/>
  <c r="I40" i="24" s="1"/>
  <c r="J117" i="2"/>
  <c r="K108" i="2" s="1"/>
  <c r="K101" i="2" s="1"/>
  <c r="H43" i="24"/>
  <c r="I43" i="24" s="1"/>
  <c r="H38" i="24"/>
  <c r="I38" i="24" s="1"/>
  <c r="H37" i="24"/>
  <c r="I37" i="24" s="1"/>
  <c r="H45" i="24"/>
  <c r="I45" i="24" s="1"/>
  <c r="H39" i="24"/>
  <c r="I39" i="24" s="1"/>
  <c r="G38" i="29"/>
  <c r="L111" i="2"/>
  <c r="F75" i="1"/>
  <c r="F115" i="1"/>
  <c r="L144" i="2" l="1"/>
  <c r="K135" i="2"/>
  <c r="K133" i="2"/>
  <c r="K134" i="2" s="1"/>
  <c r="K130" i="2"/>
  <c r="F75" i="44" s="1"/>
  <c r="G63" i="44"/>
  <c r="G64" i="44" s="1"/>
  <c r="E52" i="42"/>
  <c r="F52" i="42" s="1"/>
  <c r="E50" i="42"/>
  <c r="F50" i="42" s="1"/>
  <c r="E55" i="42"/>
  <c r="F55" i="42" s="1"/>
  <c r="F55" i="40"/>
  <c r="K163" i="2" s="1"/>
  <c r="K181" i="2" s="1"/>
  <c r="E59" i="42"/>
  <c r="F59" i="42" s="1"/>
  <c r="E58" i="42"/>
  <c r="F58" i="42" s="1"/>
  <c r="E53" i="42"/>
  <c r="F53" i="42" s="1"/>
  <c r="E56" i="42"/>
  <c r="F56" i="42" s="1"/>
  <c r="E54" i="42"/>
  <c r="F54" i="42" s="1"/>
  <c r="E49" i="42"/>
  <c r="F49" i="42" s="1"/>
  <c r="E51" i="42"/>
  <c r="F51" i="42" s="1"/>
  <c r="E48" i="42"/>
  <c r="F48" i="42" s="1"/>
  <c r="E57" i="42"/>
  <c r="F57" i="42" s="1"/>
  <c r="D62" i="42"/>
  <c r="D66" i="42"/>
  <c r="D70" i="42"/>
  <c r="D63" i="42"/>
  <c r="D67" i="42"/>
  <c r="D71" i="42"/>
  <c r="D61" i="42"/>
  <c r="D65" i="42"/>
  <c r="D69" i="42"/>
  <c r="D60" i="42"/>
  <c r="D64" i="42"/>
  <c r="D68" i="42"/>
  <c r="D72" i="42"/>
  <c r="F63" i="29"/>
  <c r="G57" i="29" s="1"/>
  <c r="K96" i="2"/>
  <c r="F66" i="29" s="1"/>
  <c r="G53" i="24"/>
  <c r="G58" i="24"/>
  <c r="G56" i="24"/>
  <c r="G51" i="24"/>
  <c r="G54" i="24"/>
  <c r="G59" i="24"/>
  <c r="E69" i="29"/>
  <c r="G48" i="24"/>
  <c r="G50" i="24"/>
  <c r="G57" i="24"/>
  <c r="G55" i="24"/>
  <c r="G52" i="24"/>
  <c r="G49" i="24"/>
  <c r="G39" i="29"/>
  <c r="G79" i="29" s="1"/>
  <c r="F118" i="1"/>
  <c r="F119" i="1" s="1"/>
  <c r="F120" i="1" s="1"/>
  <c r="F76" i="1"/>
  <c r="E70" i="46" l="1"/>
  <c r="E69" i="46"/>
  <c r="E72" i="46"/>
  <c r="E66" i="46"/>
  <c r="E65" i="46"/>
  <c r="E68" i="46"/>
  <c r="E62" i="46"/>
  <c r="E61" i="46"/>
  <c r="E64" i="46"/>
  <c r="E63" i="46"/>
  <c r="E71" i="46"/>
  <c r="E67" i="46"/>
  <c r="E60" i="46"/>
  <c r="D66" i="24"/>
  <c r="K136" i="2"/>
  <c r="K137" i="2" s="1"/>
  <c r="K141" i="2" s="1"/>
  <c r="K150" i="2" s="1"/>
  <c r="G67" i="44"/>
  <c r="G65" i="44"/>
  <c r="L129" i="2" s="1"/>
  <c r="L149" i="2" s="1"/>
  <c r="L106" i="2"/>
  <c r="K164" i="2"/>
  <c r="L174" i="2" s="1"/>
  <c r="L88" i="2"/>
  <c r="D62" i="24"/>
  <c r="D64" i="24"/>
  <c r="D72" i="24"/>
  <c r="D70" i="24"/>
  <c r="D65" i="24"/>
  <c r="D68" i="24"/>
  <c r="D63" i="24"/>
  <c r="D71" i="24"/>
  <c r="D60" i="24"/>
  <c r="D67" i="24"/>
  <c r="D69" i="24"/>
  <c r="D61" i="24"/>
  <c r="G78" i="29"/>
  <c r="G80" i="29" s="1"/>
  <c r="G82" i="29" s="1"/>
  <c r="F107" i="1"/>
  <c r="K83" i="2" s="1"/>
  <c r="F121" i="1"/>
  <c r="K58" i="2" s="1"/>
  <c r="K79" i="2" s="1"/>
  <c r="F80" i="1"/>
  <c r="H54" i="11" s="1"/>
  <c r="I54" i="11" s="1"/>
  <c r="G83" i="29" l="1"/>
  <c r="K151" i="2"/>
  <c r="F79" i="44" s="1"/>
  <c r="H51" i="46"/>
  <c r="H55" i="46"/>
  <c r="H59" i="46"/>
  <c r="H58" i="46"/>
  <c r="H48" i="46"/>
  <c r="H52" i="46"/>
  <c r="H56" i="46"/>
  <c r="H50" i="46"/>
  <c r="H49" i="46"/>
  <c r="H53" i="46"/>
  <c r="H57" i="46"/>
  <c r="H54" i="46"/>
  <c r="L156" i="2"/>
  <c r="L167" i="2" s="1"/>
  <c r="L168" i="2" s="1"/>
  <c r="L160" i="2"/>
  <c r="G72" i="40" s="1"/>
  <c r="G74" i="40" s="1"/>
  <c r="F60" i="40"/>
  <c r="L161" i="2"/>
  <c r="L179" i="2" s="1"/>
  <c r="G34" i="40" s="1"/>
  <c r="K170" i="2"/>
  <c r="K171" i="2" s="1"/>
  <c r="K175" i="2" s="1"/>
  <c r="K182" i="2" s="1"/>
  <c r="K183" i="2" s="1"/>
  <c r="L99" i="2"/>
  <c r="L100" i="2" s="1"/>
  <c r="K102" i="2"/>
  <c r="K103" i="2" s="1"/>
  <c r="K107" i="2" s="1"/>
  <c r="K116" i="2" s="1"/>
  <c r="H60" i="11"/>
  <c r="I60" i="11" s="1"/>
  <c r="H57" i="11"/>
  <c r="I57" i="11" s="1"/>
  <c r="F81" i="1"/>
  <c r="F82" i="1" s="1"/>
  <c r="K57" i="2" s="1"/>
  <c r="H52" i="11"/>
  <c r="I52" i="11" s="1"/>
  <c r="H53" i="11"/>
  <c r="I53" i="11" s="1"/>
  <c r="H55" i="11"/>
  <c r="I55" i="11" s="1"/>
  <c r="H62" i="11"/>
  <c r="I62" i="11" s="1"/>
  <c r="H56" i="11"/>
  <c r="I56" i="11" s="1"/>
  <c r="H58" i="11"/>
  <c r="I58" i="11" s="1"/>
  <c r="H59" i="11"/>
  <c r="I59" i="11" s="1"/>
  <c r="H61" i="11"/>
  <c r="I61" i="11" s="1"/>
  <c r="H51" i="11"/>
  <c r="I51" i="11" s="1"/>
  <c r="G84" i="29" l="1"/>
  <c r="G85" i="29" s="1"/>
  <c r="G41" i="29" s="1"/>
  <c r="G54" i="29" s="1"/>
  <c r="G55" i="29" s="1"/>
  <c r="G59" i="29" s="1"/>
  <c r="E66" i="24" s="1"/>
  <c r="F66" i="24" s="1"/>
  <c r="L93" i="2"/>
  <c r="L112" i="2" s="1"/>
  <c r="G61" i="46"/>
  <c r="G65" i="46"/>
  <c r="G69" i="46"/>
  <c r="G68" i="46"/>
  <c r="G62" i="46"/>
  <c r="G66" i="46"/>
  <c r="G70" i="46"/>
  <c r="G64" i="46"/>
  <c r="G72" i="46"/>
  <c r="G63" i="46"/>
  <c r="G67" i="46"/>
  <c r="G71" i="46"/>
  <c r="G60" i="46"/>
  <c r="I52" i="46"/>
  <c r="I49" i="46"/>
  <c r="I57" i="46"/>
  <c r="I54" i="46"/>
  <c r="I51" i="46"/>
  <c r="I59" i="46"/>
  <c r="I56" i="46"/>
  <c r="I53" i="46"/>
  <c r="I48" i="46"/>
  <c r="I58" i="46"/>
  <c r="I55" i="46"/>
  <c r="I50" i="46"/>
  <c r="H58" i="42"/>
  <c r="I58" i="42" s="1"/>
  <c r="H51" i="42"/>
  <c r="I51" i="42" s="1"/>
  <c r="L178" i="2"/>
  <c r="L176" i="2" s="1"/>
  <c r="L169" i="2" s="1"/>
  <c r="H54" i="42"/>
  <c r="I54" i="42" s="1"/>
  <c r="H50" i="42"/>
  <c r="I50" i="42" s="1"/>
  <c r="H57" i="42"/>
  <c r="I57" i="42" s="1"/>
  <c r="H56" i="42"/>
  <c r="I56" i="42" s="1"/>
  <c r="H59" i="42"/>
  <c r="I59" i="42" s="1"/>
  <c r="H53" i="42"/>
  <c r="I53" i="42" s="1"/>
  <c r="H52" i="42"/>
  <c r="I52" i="42" s="1"/>
  <c r="H55" i="42"/>
  <c r="I55" i="42" s="1"/>
  <c r="H49" i="42"/>
  <c r="I49" i="42" s="1"/>
  <c r="H48" i="42"/>
  <c r="I48" i="42" s="1"/>
  <c r="G75" i="40"/>
  <c r="G67" i="40" s="1"/>
  <c r="F63" i="40"/>
  <c r="G62" i="42"/>
  <c r="G66" i="42"/>
  <c r="G70" i="42"/>
  <c r="G64" i="42"/>
  <c r="G63" i="42"/>
  <c r="G67" i="42"/>
  <c r="G71" i="42"/>
  <c r="G68" i="42"/>
  <c r="G61" i="42"/>
  <c r="G65" i="42"/>
  <c r="G69" i="42"/>
  <c r="G60" i="42"/>
  <c r="G72" i="42"/>
  <c r="G48" i="40"/>
  <c r="G49" i="40" s="1"/>
  <c r="H50" i="24"/>
  <c r="I50" i="24" s="1"/>
  <c r="H58" i="24"/>
  <c r="I58" i="24" s="1"/>
  <c r="H48" i="24"/>
  <c r="I48" i="24" s="1"/>
  <c r="H57" i="24"/>
  <c r="I57" i="24" s="1"/>
  <c r="H59" i="24"/>
  <c r="I59" i="24" s="1"/>
  <c r="H56" i="24"/>
  <c r="I56" i="24" s="1"/>
  <c r="H55" i="24"/>
  <c r="I55" i="24" s="1"/>
  <c r="H54" i="24"/>
  <c r="I54" i="24" s="1"/>
  <c r="H49" i="24"/>
  <c r="I49" i="24" s="1"/>
  <c r="H53" i="24"/>
  <c r="I53" i="24" s="1"/>
  <c r="H52" i="24"/>
  <c r="I52" i="24" s="1"/>
  <c r="H51" i="24"/>
  <c r="I51" i="24" s="1"/>
  <c r="K117" i="2"/>
  <c r="L108" i="2" s="1"/>
  <c r="L101" i="2" s="1"/>
  <c r="K78" i="2"/>
  <c r="K50" i="2"/>
  <c r="K70" i="2"/>
  <c r="F84" i="1"/>
  <c r="G78" i="1" s="1"/>
  <c r="G63" i="11" s="1"/>
  <c r="G73" i="29" l="1"/>
  <c r="F60" i="46"/>
  <c r="F61" i="46"/>
  <c r="F66" i="46"/>
  <c r="F71" i="46"/>
  <c r="F64" i="46"/>
  <c r="F70" i="46"/>
  <c r="F63" i="46"/>
  <c r="F67" i="46"/>
  <c r="F62" i="46"/>
  <c r="F68" i="46"/>
  <c r="F69" i="46"/>
  <c r="F72" i="46"/>
  <c r="F65" i="46"/>
  <c r="G93" i="44"/>
  <c r="G83" i="44" s="1"/>
  <c r="G53" i="40"/>
  <c r="G54" i="40" s="1"/>
  <c r="G68" i="24"/>
  <c r="G72" i="24"/>
  <c r="G60" i="24"/>
  <c r="G67" i="24"/>
  <c r="G65" i="24"/>
  <c r="G69" i="24"/>
  <c r="G61" i="24"/>
  <c r="G64" i="24"/>
  <c r="G63" i="24"/>
  <c r="G71" i="24"/>
  <c r="G70" i="24"/>
  <c r="F69" i="29"/>
  <c r="G62" i="24"/>
  <c r="G66" i="24"/>
  <c r="K59" i="2"/>
  <c r="K63" i="2"/>
  <c r="K64" i="2" s="1"/>
  <c r="E63" i="24"/>
  <c r="F63" i="24" s="1"/>
  <c r="E70" i="24"/>
  <c r="F70" i="24" s="1"/>
  <c r="E62" i="24"/>
  <c r="F62" i="24" s="1"/>
  <c r="E60" i="24"/>
  <c r="F60" i="24" s="1"/>
  <c r="E72" i="24"/>
  <c r="F72" i="24" s="1"/>
  <c r="F74" i="24" s="1"/>
  <c r="F75" i="24" s="1"/>
  <c r="F76" i="24" s="1"/>
  <c r="G60" i="29"/>
  <c r="G61" i="29" s="1"/>
  <c r="L95" i="2" s="1"/>
  <c r="L96" i="2" s="1"/>
  <c r="E68" i="24"/>
  <c r="F68" i="24" s="1"/>
  <c r="E64" i="24"/>
  <c r="F64" i="24" s="1"/>
  <c r="E71" i="24"/>
  <c r="F71" i="24" s="1"/>
  <c r="E65" i="24"/>
  <c r="F65" i="24" s="1"/>
  <c r="E69" i="24"/>
  <c r="F69" i="24" s="1"/>
  <c r="E61" i="24"/>
  <c r="F61" i="24" s="1"/>
  <c r="E67" i="24"/>
  <c r="F67" i="24" s="1"/>
  <c r="G75" i="11"/>
  <c r="G65" i="11"/>
  <c r="G74" i="11"/>
  <c r="G69" i="11"/>
  <c r="G114" i="1"/>
  <c r="L55" i="2" s="1"/>
  <c r="G70" i="11"/>
  <c r="G72" i="11"/>
  <c r="G66" i="11"/>
  <c r="G71" i="11"/>
  <c r="G68" i="11"/>
  <c r="G64" i="11"/>
  <c r="G67" i="11"/>
  <c r="G73" i="11"/>
  <c r="F74" i="46" l="1"/>
  <c r="F75" i="46" s="1"/>
  <c r="F76" i="46" s="1"/>
  <c r="F6" i="46"/>
  <c r="F7" i="46" s="1"/>
  <c r="L76" i="2"/>
  <c r="G77" i="44"/>
  <c r="E67" i="42"/>
  <c r="F67" i="42" s="1"/>
  <c r="E62" i="42"/>
  <c r="F62" i="42" s="1"/>
  <c r="E63" i="42"/>
  <c r="F63" i="42" s="1"/>
  <c r="E60" i="42"/>
  <c r="F60" i="42" s="1"/>
  <c r="E69" i="42"/>
  <c r="F69" i="42" s="1"/>
  <c r="E64" i="42"/>
  <c r="F64" i="42" s="1"/>
  <c r="E72" i="42"/>
  <c r="F72" i="42" s="1"/>
  <c r="F74" i="42" s="1"/>
  <c r="F75" i="42" s="1"/>
  <c r="F76" i="42" s="1"/>
  <c r="E70" i="42"/>
  <c r="F70" i="42" s="1"/>
  <c r="E65" i="42"/>
  <c r="F65" i="42" s="1"/>
  <c r="E71" i="42"/>
  <c r="F71" i="42" s="1"/>
  <c r="E68" i="42"/>
  <c r="F68" i="42" s="1"/>
  <c r="E66" i="42"/>
  <c r="F66" i="42" s="1"/>
  <c r="E61" i="42"/>
  <c r="F61" i="42" s="1"/>
  <c r="G57" i="40"/>
  <c r="G55" i="40"/>
  <c r="L163" i="2" s="1"/>
  <c r="F99" i="1"/>
  <c r="G66" i="29"/>
  <c r="I66" i="29" s="1"/>
  <c r="L102" i="2"/>
  <c r="L103" i="2" s="1"/>
  <c r="L107" i="2" s="1"/>
  <c r="L115" i="2"/>
  <c r="G63" i="29"/>
  <c r="F6" i="24"/>
  <c r="F7" i="24" s="1"/>
  <c r="F6" i="42" l="1"/>
  <c r="F7" i="42" s="1"/>
  <c r="L140" i="2"/>
  <c r="L142" i="2" s="1"/>
  <c r="L122" i="2"/>
  <c r="G101" i="1"/>
  <c r="L181" i="2"/>
  <c r="L164" i="2"/>
  <c r="G60" i="40" s="1"/>
  <c r="I60" i="40" s="1"/>
  <c r="L116" i="2"/>
  <c r="G75" i="1"/>
  <c r="G115" i="1"/>
  <c r="L135" i="2" l="1"/>
  <c r="L133" i="2"/>
  <c r="L134" i="2" s="1"/>
  <c r="L130" i="2"/>
  <c r="G75" i="44" s="1"/>
  <c r="L170" i="2"/>
  <c r="L171" i="2" s="1"/>
  <c r="L175" i="2" s="1"/>
  <c r="L182" i="2" s="1"/>
  <c r="H65" i="24"/>
  <c r="I65" i="24" s="1"/>
  <c r="H70" i="24"/>
  <c r="I70" i="24" s="1"/>
  <c r="H71" i="24"/>
  <c r="I71" i="24" s="1"/>
  <c r="H69" i="24"/>
  <c r="I69" i="24" s="1"/>
  <c r="H63" i="24"/>
  <c r="I63" i="24" s="1"/>
  <c r="H61" i="24"/>
  <c r="I61" i="24" s="1"/>
  <c r="H64" i="24"/>
  <c r="I64" i="24" s="1"/>
  <c r="H60" i="24"/>
  <c r="I60" i="24" s="1"/>
  <c r="L117" i="2"/>
  <c r="H62" i="24"/>
  <c r="I62" i="24" s="1"/>
  <c r="H66" i="24"/>
  <c r="I66" i="24" s="1"/>
  <c r="H67" i="24"/>
  <c r="I67" i="24" s="1"/>
  <c r="H68" i="24"/>
  <c r="I68" i="24" s="1"/>
  <c r="H72" i="24"/>
  <c r="I72" i="24" s="1"/>
  <c r="G76" i="1"/>
  <c r="G118" i="1"/>
  <c r="G119" i="1" s="1"/>
  <c r="G120" i="1" s="1"/>
  <c r="L136" i="2" l="1"/>
  <c r="L137" i="2" s="1"/>
  <c r="L141" i="2" s="1"/>
  <c r="L150" i="2" s="1"/>
  <c r="L183" i="2"/>
  <c r="G63" i="40" s="1"/>
  <c r="I63" i="40" s="1"/>
  <c r="H60" i="42"/>
  <c r="I60" i="42" s="1"/>
  <c r="H64" i="42"/>
  <c r="I64" i="42" s="1"/>
  <c r="H68" i="42"/>
  <c r="I68" i="42" s="1"/>
  <c r="H72" i="42"/>
  <c r="I72" i="42" s="1"/>
  <c r="H62" i="42"/>
  <c r="I62" i="42" s="1"/>
  <c r="H70" i="42"/>
  <c r="I70" i="42" s="1"/>
  <c r="H61" i="42"/>
  <c r="I61" i="42" s="1"/>
  <c r="H65" i="42"/>
  <c r="I65" i="42" s="1"/>
  <c r="H69" i="42"/>
  <c r="I69" i="42" s="1"/>
  <c r="H63" i="42"/>
  <c r="I63" i="42" s="1"/>
  <c r="H67" i="42"/>
  <c r="I67" i="42" s="1"/>
  <c r="H71" i="42"/>
  <c r="I71" i="42" s="1"/>
  <c r="H66" i="42"/>
  <c r="I66" i="42" s="1"/>
  <c r="G69" i="29"/>
  <c r="I69" i="29" s="1"/>
  <c r="G107" i="1"/>
  <c r="L83" i="2" s="1"/>
  <c r="G121" i="1"/>
  <c r="L58" i="2" s="1"/>
  <c r="L79" i="2" s="1"/>
  <c r="G80" i="1"/>
  <c r="H63" i="11" s="1"/>
  <c r="I63" i="11" s="1"/>
  <c r="L151" i="2" l="1"/>
  <c r="G79" i="44" s="1"/>
  <c r="H63" i="46"/>
  <c r="I63" i="46" s="1"/>
  <c r="H67" i="46"/>
  <c r="I67" i="46" s="1"/>
  <c r="H71" i="46"/>
  <c r="I71" i="46" s="1"/>
  <c r="H70" i="46"/>
  <c r="I70" i="46" s="1"/>
  <c r="H60" i="46"/>
  <c r="I60" i="46" s="1"/>
  <c r="H64" i="46"/>
  <c r="I64" i="46" s="1"/>
  <c r="H68" i="46"/>
  <c r="I68" i="46" s="1"/>
  <c r="H72" i="46"/>
  <c r="I72" i="46" s="1"/>
  <c r="H62" i="46"/>
  <c r="I62" i="46" s="1"/>
  <c r="H61" i="46"/>
  <c r="I61" i="46" s="1"/>
  <c r="H65" i="46"/>
  <c r="I65" i="46" s="1"/>
  <c r="H69" i="46"/>
  <c r="I69" i="46" s="1"/>
  <c r="H66" i="46"/>
  <c r="I66" i="46" s="1"/>
  <c r="H65" i="11"/>
  <c r="I65" i="11" s="1"/>
  <c r="H64" i="11"/>
  <c r="I64" i="11" s="1"/>
  <c r="H66" i="11"/>
  <c r="I66" i="11" s="1"/>
  <c r="H74" i="11"/>
  <c r="I74" i="11" s="1"/>
  <c r="H69" i="11"/>
  <c r="I69" i="11" s="1"/>
  <c r="H71" i="11"/>
  <c r="I71" i="11" s="1"/>
  <c r="H72" i="11"/>
  <c r="I72" i="11" s="1"/>
  <c r="H67" i="11"/>
  <c r="I67" i="11" s="1"/>
  <c r="H73" i="11"/>
  <c r="I73" i="11" s="1"/>
  <c r="G81" i="1"/>
  <c r="G82" i="1" s="1"/>
  <c r="L57" i="2" s="1"/>
  <c r="L50" i="2" s="1"/>
  <c r="H68" i="11"/>
  <c r="I68" i="11" s="1"/>
  <c r="H70" i="11"/>
  <c r="I70" i="11" s="1"/>
  <c r="H75" i="11"/>
  <c r="I75" i="11" s="1"/>
  <c r="G84" i="1" l="1"/>
  <c r="I77" i="11"/>
  <c r="I78" i="11" s="1"/>
  <c r="I79" i="11" s="1"/>
  <c r="I9" i="11"/>
  <c r="I10" i="11" s="1"/>
  <c r="L78" i="2"/>
  <c r="L59" i="2"/>
  <c r="I75" i="44" s="1"/>
  <c r="L70" i="2"/>
  <c r="L63" i="2" s="1"/>
  <c r="L64" i="2" s="1"/>
  <c r="G99" i="1" l="1"/>
  <c r="I99" i="1" s="1"/>
  <c r="H66" i="2" l="1"/>
  <c r="H67" i="2" s="1"/>
  <c r="H71" i="2" s="1"/>
  <c r="H80" i="2" s="1"/>
  <c r="Q24" i="11" l="1"/>
  <c r="R24" i="11" s="1"/>
  <c r="Q17" i="11"/>
  <c r="R17" i="11" s="1"/>
  <c r="Q21" i="11"/>
  <c r="R21" i="11" s="1"/>
  <c r="Q20" i="11"/>
  <c r="R20" i="11" s="1"/>
  <c r="Q23" i="11"/>
  <c r="R23" i="11" s="1"/>
  <c r="Q26" i="11"/>
  <c r="R26" i="11" s="1"/>
  <c r="Q19" i="11"/>
  <c r="R19" i="11" s="1"/>
  <c r="Q18" i="11"/>
  <c r="R18" i="11" s="1"/>
  <c r="Q22" i="11"/>
  <c r="R22" i="11" s="1"/>
  <c r="Q16" i="11"/>
  <c r="R16" i="11" s="1"/>
  <c r="Q25" i="11"/>
  <c r="R25" i="11" s="1"/>
  <c r="Q15" i="11"/>
  <c r="R15" i="11" s="1"/>
  <c r="H81" i="2"/>
  <c r="I72" i="2" l="1"/>
  <c r="I65" i="2" s="1"/>
  <c r="I66" i="2" s="1"/>
  <c r="I67" i="2" s="1"/>
  <c r="I71" i="2" s="1"/>
  <c r="I80" i="2" s="1"/>
  <c r="P33" i="11"/>
  <c r="P37" i="11"/>
  <c r="P28" i="11"/>
  <c r="P32" i="11"/>
  <c r="P38" i="11"/>
  <c r="P35" i="11"/>
  <c r="P36" i="11"/>
  <c r="P30" i="11"/>
  <c r="P29" i="11"/>
  <c r="P27" i="11"/>
  <c r="P34" i="11"/>
  <c r="C103" i="1"/>
  <c r="P31" i="11"/>
  <c r="Q29" i="11" l="1"/>
  <c r="R29" i="11" s="1"/>
  <c r="Q33" i="11"/>
  <c r="R33" i="11" s="1"/>
  <c r="Q27" i="11"/>
  <c r="R27" i="11" s="1"/>
  <c r="Q34" i="11"/>
  <c r="R34" i="11" s="1"/>
  <c r="Q36" i="11"/>
  <c r="R36" i="11" s="1"/>
  <c r="Q32" i="11"/>
  <c r="Q30" i="11"/>
  <c r="R30" i="11" s="1"/>
  <c r="Q35" i="11"/>
  <c r="R35" i="11" s="1"/>
  <c r="Q37" i="11"/>
  <c r="R37" i="11" s="1"/>
  <c r="Q28" i="11"/>
  <c r="R28" i="11" s="1"/>
  <c r="Q31" i="11"/>
  <c r="R31" i="11" s="1"/>
  <c r="Q38" i="11"/>
  <c r="R38" i="11" s="1"/>
  <c r="I81" i="2"/>
  <c r="R32" i="11"/>
  <c r="J72" i="2" l="1"/>
  <c r="J65" i="2" s="1"/>
  <c r="J66" i="2" s="1"/>
  <c r="J67" i="2" s="1"/>
  <c r="J71" i="2" s="1"/>
  <c r="J80" i="2" s="1"/>
  <c r="P50" i="11"/>
  <c r="P48" i="11"/>
  <c r="P45" i="11"/>
  <c r="P42" i="11"/>
  <c r="P47" i="11"/>
  <c r="P46" i="11"/>
  <c r="P49" i="11"/>
  <c r="D103" i="1"/>
  <c r="P43" i="11"/>
  <c r="P40" i="11"/>
  <c r="P39" i="11"/>
  <c r="P41" i="11"/>
  <c r="P44" i="11"/>
  <c r="Q42" i="11" l="1"/>
  <c r="R42" i="11" s="1"/>
  <c r="Q41" i="11"/>
  <c r="R41" i="11" s="1"/>
  <c r="Q48" i="11"/>
  <c r="R48" i="11" s="1"/>
  <c r="Q40" i="11"/>
  <c r="R40" i="11" s="1"/>
  <c r="Q49" i="11"/>
  <c r="R49" i="11" s="1"/>
  <c r="Q45" i="11"/>
  <c r="R45" i="11" s="1"/>
  <c r="Q47" i="11"/>
  <c r="R47" i="11" s="1"/>
  <c r="Q44" i="11"/>
  <c r="R44" i="11" s="1"/>
  <c r="Q46" i="11"/>
  <c r="R46" i="11" s="1"/>
  <c r="Q50" i="11"/>
  <c r="R50" i="11" s="1"/>
  <c r="Q43" i="11"/>
  <c r="R43" i="11" s="1"/>
  <c r="Q39" i="11"/>
  <c r="R39" i="11" s="1"/>
  <c r="J81" i="2"/>
  <c r="K72" i="2" l="1"/>
  <c r="K65" i="2" s="1"/>
  <c r="K66" i="2" s="1"/>
  <c r="K67" i="2" s="1"/>
  <c r="K71" i="2" s="1"/>
  <c r="K80" i="2" s="1"/>
  <c r="E103" i="1"/>
  <c r="P56" i="11"/>
  <c r="P61" i="11"/>
  <c r="P51" i="11"/>
  <c r="P62" i="11"/>
  <c r="P52" i="11"/>
  <c r="P59" i="11"/>
  <c r="P55" i="11"/>
  <c r="P60" i="11"/>
  <c r="P58" i="11"/>
  <c r="P53" i="11"/>
  <c r="P57" i="11"/>
  <c r="P54" i="11"/>
  <c r="Q62" i="11" l="1"/>
  <c r="R62" i="11" s="1"/>
  <c r="Q60" i="11"/>
  <c r="R60" i="11" s="1"/>
  <c r="Q59" i="11"/>
  <c r="R59" i="11" s="1"/>
  <c r="Q57" i="11"/>
  <c r="R57" i="11" s="1"/>
  <c r="Q55" i="11"/>
  <c r="R55" i="11" s="1"/>
  <c r="Q56" i="11"/>
  <c r="Q61" i="11"/>
  <c r="R61" i="11" s="1"/>
  <c r="Q54" i="11"/>
  <c r="R54" i="11" s="1"/>
  <c r="Q52" i="11"/>
  <c r="R52" i="11" s="1"/>
  <c r="Q53" i="11"/>
  <c r="R53" i="11" s="1"/>
  <c r="Q58" i="11"/>
  <c r="R58" i="11" s="1"/>
  <c r="Q51" i="11"/>
  <c r="R51" i="11" s="1"/>
  <c r="K81" i="2"/>
  <c r="R56" i="11"/>
  <c r="L72" i="2" l="1"/>
  <c r="L65" i="2" s="1"/>
  <c r="L66" i="2" s="1"/>
  <c r="L67" i="2" s="1"/>
  <c r="L71" i="2" s="1"/>
  <c r="L80" i="2" s="1"/>
  <c r="L81" i="2" s="1"/>
  <c r="P66" i="11"/>
  <c r="P71" i="11"/>
  <c r="P68" i="11"/>
  <c r="P63" i="11"/>
  <c r="P73" i="11"/>
  <c r="P74" i="11"/>
  <c r="P72" i="11"/>
  <c r="P65" i="11"/>
  <c r="P70" i="11"/>
  <c r="F103" i="1"/>
  <c r="P67" i="11"/>
  <c r="P75" i="11"/>
  <c r="P69" i="11"/>
  <c r="P64" i="11"/>
  <c r="G103" i="1" l="1"/>
  <c r="I103" i="1" s="1"/>
  <c r="I79" i="44"/>
  <c r="Q67" i="11"/>
  <c r="R67" i="11" s="1"/>
  <c r="Q75" i="11"/>
  <c r="R75" i="11" s="1"/>
  <c r="Q65" i="11"/>
  <c r="R65" i="11" s="1"/>
  <c r="Q73" i="11"/>
  <c r="R73" i="11" s="1"/>
  <c r="Q64" i="11"/>
  <c r="R64" i="11" s="1"/>
  <c r="Q70" i="11"/>
  <c r="R70" i="11" s="1"/>
  <c r="Q68" i="11"/>
  <c r="R68" i="11" s="1"/>
  <c r="Q69" i="11"/>
  <c r="R69" i="11" s="1"/>
  <c r="Q71" i="11"/>
  <c r="R71" i="11" s="1"/>
  <c r="Q63" i="11"/>
  <c r="R63" i="11" s="1"/>
  <c r="Q74" i="11"/>
  <c r="R74" i="11" s="1"/>
  <c r="Q72" i="11"/>
  <c r="R72" i="11" s="1"/>
  <c r="Q66" i="11"/>
  <c r="R66" i="11" s="1"/>
  <c r="R9" i="11" l="1"/>
  <c r="R10" i="11" s="1"/>
</calcChain>
</file>

<file path=xl/comments1.xml><?xml version="1.0" encoding="utf-8"?>
<comments xmlns="http://schemas.openxmlformats.org/spreadsheetml/2006/main">
  <authors>
    <author>Alan</author>
  </authors>
  <commentList>
    <comment ref="B47" authorId="0" shapeId="0">
      <text>
        <r>
          <rPr>
            <b/>
            <sz val="8"/>
            <color indexed="81"/>
            <rFont val="Tahoma"/>
            <family val="2"/>
          </rPr>
          <t>Alan:</t>
        </r>
        <r>
          <rPr>
            <sz val="8"/>
            <color indexed="81"/>
            <rFont val="Tahoma"/>
            <family val="2"/>
          </rPr>
          <t xml:space="preserve">
Nov 2016 PFC sheet but adding back Dividend cuz it shifting to next year.</t>
        </r>
      </text>
    </comment>
    <comment ref="B48" authorId="0" shapeId="0">
      <text>
        <r>
          <rPr>
            <b/>
            <sz val="8"/>
            <color indexed="81"/>
            <rFont val="Tahoma"/>
            <family val="2"/>
          </rPr>
          <t>Alan:</t>
        </r>
        <r>
          <rPr>
            <sz val="8"/>
            <color indexed="81"/>
            <rFont val="Tahoma"/>
            <family val="2"/>
          </rPr>
          <t xml:space="preserve">
Mid estimate from Nov 30 PFC sheet, but adding back the Dividend transfer at end of year because I am putting those transfers in the fiscal year of the dividend paid with them (as LFD does).  Adjust also for Gov's requested ER - CBR transfer, if selected on Common Inputs.</t>
        </r>
      </text>
    </comment>
    <comment ref="N48" authorId="0" shapeId="0">
      <text>
        <r>
          <rPr>
            <b/>
            <sz val="8"/>
            <color indexed="81"/>
            <rFont val="Tahoma"/>
            <family val="2"/>
          </rPr>
          <t xml:space="preserve">Alan:
</t>
        </r>
        <r>
          <rPr>
            <sz val="8"/>
            <color indexed="81"/>
            <rFont val="Tahoma"/>
            <family val="2"/>
          </rPr>
          <t>Mid estimate from Nov 30, 2016 forecast sheet but adding back Inflation Proofing and Dividend transfer, as the fiscal plans remove Inflation proofing, and I am using the LFD convention of putting the Dividend transfer in the fiscal year it is used for the Dividend.</t>
        </r>
      </text>
    </comment>
    <comment ref="R48" authorId="0" shapeId="0">
      <text>
        <r>
          <rPr>
            <b/>
            <sz val="8"/>
            <color indexed="81"/>
            <rFont val="Tahoma"/>
            <family val="2"/>
          </rPr>
          <t>Alan:</t>
        </r>
        <r>
          <rPr>
            <sz val="8"/>
            <color indexed="81"/>
            <rFont val="Tahoma"/>
            <family val="2"/>
          </rPr>
          <t xml:space="preserve">
From Nov 30, 2016 PFC sheet, except removed Inflation Proofing transfer.</t>
        </r>
      </text>
    </comment>
    <comment ref="S48" authorId="0" shapeId="0">
      <text>
        <r>
          <rPr>
            <b/>
            <sz val="8"/>
            <color indexed="81"/>
            <rFont val="Tahoma"/>
            <family val="2"/>
          </rPr>
          <t>Alan:</t>
        </r>
        <r>
          <rPr>
            <sz val="8"/>
            <color indexed="81"/>
            <rFont val="Tahoma"/>
            <family val="2"/>
          </rPr>
          <t xml:space="preserve">
Nov 30, 2016 PFC sheet but added back Dividend transfer and Inflation Proofing transfer.  Adjust for Gov's requested transfer if it is selected on Common Inputs sheet.</t>
        </r>
      </text>
    </comment>
    <comment ref="E66" authorId="0" shapeId="0">
      <text>
        <r>
          <rPr>
            <b/>
            <sz val="8"/>
            <color indexed="81"/>
            <rFont val="Tahoma"/>
            <family val="2"/>
          </rPr>
          <t>Alan:</t>
        </r>
        <r>
          <rPr>
            <sz val="8"/>
            <color indexed="81"/>
            <rFont val="Tahoma"/>
            <family val="2"/>
          </rPr>
          <t xml:space="preserve">
These are from workbook sent from LFD showing total returns of the fund &amp; match exactly the returns on the Historical Return PDF from the PFC up through FY15.</t>
        </r>
      </text>
    </comment>
    <comment ref="F66" authorId="0" shapeId="0">
      <text>
        <r>
          <rPr>
            <b/>
            <sz val="8"/>
            <color indexed="81"/>
            <rFont val="Tahoma"/>
            <family val="2"/>
          </rPr>
          <t>Alan:</t>
        </r>
        <r>
          <rPr>
            <sz val="8"/>
            <color indexed="81"/>
            <rFont val="Tahoma"/>
            <family val="2"/>
          </rPr>
          <t xml:space="preserve">
These are from the Historical Return PDF from the PFC, although I believe they underestimate Stat return because they don't add back PFC expenses &amp; Amerada Hess before calculating return.</t>
        </r>
      </text>
    </comment>
  </commentList>
</comments>
</file>

<file path=xl/comments10.xml><?xml version="1.0" encoding="utf-8"?>
<comments xmlns="http://schemas.openxmlformats.org/spreadsheetml/2006/main">
  <authors>
    <author>Alan</author>
  </authors>
  <commentList>
    <comment ref="A6" authorId="0" shapeId="0">
      <text>
        <r>
          <rPr>
            <b/>
            <sz val="8"/>
            <color indexed="81"/>
            <rFont val="Tahoma"/>
            <family val="2"/>
          </rPr>
          <t>Alan:</t>
        </r>
        <r>
          <rPr>
            <sz val="8"/>
            <color indexed="81"/>
            <rFont val="Tahoma"/>
            <family val="2"/>
          </rPr>
          <t xml:space="preserve">
Starting Values are from Springl 2016 DOR Forecast.</t>
        </r>
      </text>
    </comment>
    <comment ref="A9" authorId="0" shapeId="0">
      <text>
        <r>
          <rPr>
            <b/>
            <sz val="8"/>
            <color indexed="81"/>
            <rFont val="Tahoma"/>
            <family val="2"/>
          </rPr>
          <t>Alan:</t>
        </r>
        <r>
          <rPr>
            <sz val="8"/>
            <color indexed="81"/>
            <rFont val="Tahoma"/>
            <family val="2"/>
          </rPr>
          <t xml:space="preserve">
Starting Values are from Spring 2016 DOR Forecast.</t>
        </r>
      </text>
    </comment>
    <comment ref="B11" authorId="0" shapeId="0">
      <text>
        <r>
          <rPr>
            <b/>
            <sz val="8"/>
            <color indexed="81"/>
            <rFont val="Tahoma"/>
            <family val="2"/>
          </rPr>
          <t>Alan:</t>
        </r>
        <r>
          <rPr>
            <sz val="8"/>
            <color indexed="81"/>
            <rFont val="Tahoma"/>
            <family val="2"/>
          </rPr>
          <t xml:space="preserve">
FY 17 Spending budget of 4368 + 65 adjustment for HB 374 - $30 M for Oil Tax Credits accounted separately minus $61 M for vetoes.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Alan:</t>
        </r>
        <r>
          <rPr>
            <sz val="8"/>
            <color indexed="81"/>
            <rFont val="Tahoma"/>
            <family val="2"/>
          </rPr>
          <t xml:space="preserve">
Extra $25 M for University and Public Broadcasting funding that was not in FY17 budget.</t>
        </r>
      </text>
    </comment>
    <comment ref="B63" authorId="0" shapeId="0">
      <text>
        <r>
          <rPr>
            <b/>
            <sz val="8"/>
            <color indexed="81"/>
            <rFont val="Tahoma"/>
            <family val="2"/>
          </rPr>
          <t>Alan:</t>
        </r>
        <r>
          <rPr>
            <sz val="8"/>
            <color indexed="81"/>
            <rFont val="Tahoma"/>
            <family val="2"/>
          </rPr>
          <t xml:space="preserve">
Net Offsets (considering carry-forward) in 2014 were $26.2 million and $37.5 million in 2015.  Transfers to HSS, DOC, &amp; Violent Crimes are affected by size of Dividend.  Because of plans to lower Dividend, I am using a $30 million figure.</t>
        </r>
      </text>
    </comment>
  </commentList>
</comments>
</file>

<file path=xl/comments11.xml><?xml version="1.0" encoding="utf-8"?>
<comments xmlns="http://schemas.openxmlformats.org/spreadsheetml/2006/main">
  <authors>
    <author>Alan</author>
  </authors>
  <commentList>
    <comment ref="F28" authorId="0" shapeId="0">
      <text>
        <r>
          <rPr>
            <b/>
            <sz val="8"/>
            <color indexed="81"/>
            <rFont val="Tahoma"/>
            <family val="2"/>
          </rPr>
          <t>Alan:</t>
        </r>
        <r>
          <rPr>
            <sz val="8"/>
            <color indexed="81"/>
            <rFont val="Tahoma"/>
            <family val="2"/>
          </rPr>
          <t xml:space="preserve">
From Nov 30, 2016 PFC Forecast Sheet, adjusted for moving the Dividend draw to the next year.</t>
        </r>
      </text>
    </comment>
    <comment ref="F33" authorId="0" shapeId="0">
      <text>
        <r>
          <rPr>
            <b/>
            <sz val="8"/>
            <color indexed="81"/>
            <rFont val="Tahoma"/>
            <family val="2"/>
          </rPr>
          <t>Alan:</t>
        </r>
        <r>
          <rPr>
            <sz val="8"/>
            <color indexed="81"/>
            <rFont val="Tahoma"/>
            <family val="2"/>
          </rPr>
          <t xml:space="preserve">
From PFC sheet Nov 2016.</t>
        </r>
      </text>
    </comment>
    <comment ref="F34" authorId="0" shapeId="0">
      <text>
        <r>
          <rPr>
            <b/>
            <sz val="8"/>
            <color indexed="81"/>
            <rFont val="Tahoma"/>
            <family val="2"/>
          </rPr>
          <t>Alan:</t>
        </r>
        <r>
          <rPr>
            <sz val="8"/>
            <color indexed="81"/>
            <rFont val="Tahoma"/>
            <family val="2"/>
          </rPr>
          <t xml:space="preserve">
From PFC sheet, Nov 2016.</t>
        </r>
      </text>
    </comment>
    <comment ref="F35" authorId="0" shapeId="0">
      <text>
        <r>
          <rPr>
            <b/>
            <sz val="8"/>
            <color indexed="81"/>
            <rFont val="Tahoma"/>
            <family val="2"/>
          </rPr>
          <t>Alan:</t>
        </r>
        <r>
          <rPr>
            <sz val="8"/>
            <color indexed="81"/>
            <rFont val="Tahoma"/>
            <family val="2"/>
          </rPr>
          <t xml:space="preserve">
From PFC but added back Dividend transfer because I am moving it ot following year.</t>
        </r>
      </text>
    </comment>
    <comment ref="A39" authorId="0" shapeId="0">
      <text>
        <r>
          <rPr>
            <b/>
            <sz val="8"/>
            <color indexed="81"/>
            <rFont val="Tahoma"/>
            <family val="2"/>
          </rPr>
          <t>Alan:</t>
        </r>
        <r>
          <rPr>
            <sz val="8"/>
            <color indexed="81"/>
            <rFont val="Tahoma"/>
            <family val="2"/>
          </rPr>
          <t xml:space="preserve">
Amerada Hess is removed from Statutory Income, so does not need to be included separately below.</t>
        </r>
      </text>
    </comment>
    <comment ref="F45" authorId="0" shapeId="0">
      <text>
        <r>
          <rPr>
            <b/>
            <sz val="8"/>
            <color indexed="81"/>
            <rFont val="Tahoma"/>
            <family val="2"/>
          </rPr>
          <t>Alan:</t>
        </r>
        <r>
          <rPr>
            <sz val="8"/>
            <color indexed="81"/>
            <rFont val="Tahoma"/>
            <family val="2"/>
          </rPr>
          <t xml:space="preserve">
From Nov 30, 2016 PFC Forecast sheet, adjusted for moving the Dividend draw to the next year.</t>
        </r>
      </text>
    </comment>
    <comment ref="G51" authorId="0" shapeId="0">
      <text>
        <r>
          <rPr>
            <b/>
            <sz val="8"/>
            <color indexed="81"/>
            <rFont val="Tahoma"/>
            <family val="2"/>
          </rPr>
          <t>Alan:
~</t>
        </r>
        <r>
          <rPr>
            <sz val="8"/>
            <color indexed="81"/>
            <rFont val="Tahoma"/>
            <family val="2"/>
          </rPr>
          <t>30% of Petroleum + Mining Royalties in this year, cuz SB 114 not in effect.</t>
        </r>
      </text>
    </comment>
    <comment ref="G53" authorId="0" shapeId="0">
      <text>
        <r>
          <rPr>
            <b/>
            <sz val="8"/>
            <color indexed="81"/>
            <rFont val="Tahoma"/>
            <family val="2"/>
          </rPr>
          <t>Alan:</t>
        </r>
        <r>
          <rPr>
            <sz val="8"/>
            <color indexed="81"/>
            <rFont val="Tahoma"/>
            <family val="2"/>
          </rPr>
          <t xml:space="preserve">
This comes out of end-of-year FY16 PF balance, but it feeds the General Fund for the FY 17 year.</t>
        </r>
      </text>
    </comment>
    <comment ref="F217" authorId="0" shapeId="0">
      <text>
        <r>
          <rPr>
            <b/>
            <sz val="8"/>
            <color indexed="81"/>
            <rFont val="Tahoma"/>
            <family val="2"/>
          </rPr>
          <t>Alan:</t>
        </r>
        <r>
          <rPr>
            <sz val="8"/>
            <color indexed="81"/>
            <rFont val="Tahoma"/>
            <family val="2"/>
          </rPr>
          <t xml:space="preserve">
"Alaska Permanent Fund Financial History &amp; Projections", Aug 31, end FY15 Balance</t>
        </r>
      </text>
    </comment>
    <comment ref="F245" authorId="0" shapeId="0">
      <text>
        <r>
          <rPr>
            <b/>
            <sz val="8"/>
            <color indexed="81"/>
            <rFont val="Tahoma"/>
            <family val="2"/>
          </rPr>
          <t>Alan:</t>
        </r>
        <r>
          <rPr>
            <sz val="8"/>
            <color indexed="81"/>
            <rFont val="Tahoma"/>
            <family val="2"/>
          </rPr>
          <t xml:space="preserve">
"Alaska Permanent Fund Financial History &amp; Projections", Aug 31, end FY15 Balance</t>
        </r>
      </text>
    </comment>
  </commentList>
</comments>
</file>

<file path=xl/comments2.xml><?xml version="1.0" encoding="utf-8"?>
<comments xmlns="http://schemas.openxmlformats.org/spreadsheetml/2006/main">
  <authors>
    <author>Alan</author>
  </authors>
  <commentList>
    <comment ref="O7" authorId="0" shapeId="0">
      <text>
        <r>
          <rPr>
            <b/>
            <sz val="8"/>
            <color indexed="81"/>
            <rFont val="Tahoma"/>
            <family val="2"/>
          </rPr>
          <t>Alan:</t>
        </r>
        <r>
          <rPr>
            <sz val="8"/>
            <color indexed="81"/>
            <rFont val="Tahoma"/>
            <family val="2"/>
          </rPr>
          <t xml:space="preserve">
POMV calc uses most recent 5 years, as opposed to other POMV plans which shift that back a year.  That is why SB 21 PF growth rate is the same as HB 115 even though the POMV payout rate is lower.</t>
        </r>
      </text>
    </comment>
  </commentList>
</comments>
</file>

<file path=xl/comments3.xml><?xml version="1.0" encoding="utf-8"?>
<comments xmlns="http://schemas.openxmlformats.org/spreadsheetml/2006/main">
  <authors>
    <author>Alan</author>
  </authors>
  <commentList>
    <comment ref="B12" authorId="0" shapeId="0">
      <text>
        <r>
          <rPr>
            <b/>
            <sz val="8"/>
            <color indexed="81"/>
            <rFont val="Tahoma"/>
            <family val="2"/>
          </rPr>
          <t>Alan:</t>
        </r>
        <r>
          <rPr>
            <sz val="8"/>
            <color indexed="81"/>
            <rFont val="Tahoma"/>
            <family val="2"/>
          </rPr>
          <t xml:space="preserve">
Page 114 Fall 2016 RSB.</t>
        </r>
      </text>
    </comment>
    <comment ref="A18" authorId="0" shapeId="0">
      <text>
        <r>
          <rPr>
            <b/>
            <sz val="8"/>
            <color indexed="81"/>
            <rFont val="Tahoma"/>
            <family val="2"/>
          </rPr>
          <t>Alan:</t>
        </r>
        <r>
          <rPr>
            <sz val="8"/>
            <color indexed="81"/>
            <rFont val="Tahoma"/>
            <family val="2"/>
          </rPr>
          <t xml:space="preserve">
Page 114 Fall 2016 RSB.</t>
        </r>
      </text>
    </comment>
    <comment ref="B25" authorId="0" shapeId="0">
      <text>
        <r>
          <rPr>
            <b/>
            <sz val="8"/>
            <color indexed="81"/>
            <rFont val="Tahoma"/>
            <family val="2"/>
          </rPr>
          <t>Alan:</t>
        </r>
        <r>
          <rPr>
            <sz val="8"/>
            <color indexed="81"/>
            <rFont val="Tahoma"/>
            <family val="2"/>
          </rPr>
          <t xml:space="preserve">
Not yet know for FY17; determined in FY17 legislative session.</t>
        </r>
      </text>
    </comment>
    <comment ref="B34" authorId="0" shapeId="0">
      <text>
        <r>
          <rPr>
            <b/>
            <sz val="8"/>
            <color indexed="81"/>
            <rFont val="Tahoma"/>
            <family val="2"/>
          </rPr>
          <t>Alan:</t>
        </r>
        <r>
          <rPr>
            <sz val="8"/>
            <color indexed="81"/>
            <rFont val="Tahoma"/>
            <family val="2"/>
          </rPr>
          <t xml:space="preserve">
This was set so that unpaid balance at end of year = $646 M, as stated on page 78 of the Fall 2016 Revenue Sources Book.</t>
        </r>
      </text>
    </comment>
    <comment ref="C34" authorId="0" shapeId="0">
      <text>
        <r>
          <rPr>
            <b/>
            <sz val="8"/>
            <color indexed="81"/>
            <rFont val="Tahoma"/>
            <family val="2"/>
          </rPr>
          <t>Alan:</t>
        </r>
        <r>
          <rPr>
            <sz val="8"/>
            <color indexed="81"/>
            <rFont val="Tahoma"/>
            <family val="2"/>
          </rPr>
          <t xml:space="preserve">
Page 78 of Fall 2016 Revenue Sources book says balance to be paid at end of year will be $961 M.  This new credit value was set to achieve that.</t>
        </r>
      </text>
    </comment>
    <comment ref="A39" authorId="0" shapeId="0">
      <text>
        <r>
          <rPr>
            <b/>
            <sz val="8"/>
            <color indexed="81"/>
            <rFont val="Tahoma"/>
            <family val="2"/>
          </rPr>
          <t>Alan:</t>
        </r>
        <r>
          <rPr>
            <sz val="8"/>
            <color indexed="81"/>
            <rFont val="Tahoma"/>
            <family val="2"/>
          </rPr>
          <t xml:space="preserve">
Page 75 of Fall 2016 Revenue Sources Book (RSB).</t>
        </r>
      </text>
    </comment>
    <comment ref="C57" authorId="0" shapeId="0">
      <text>
        <r>
          <rPr>
            <b/>
            <sz val="8"/>
            <color indexed="81"/>
            <rFont val="Tahoma"/>
            <family val="2"/>
          </rPr>
          <t>Alan:</t>
        </r>
        <r>
          <rPr>
            <sz val="8"/>
            <color indexed="81"/>
            <rFont val="Tahoma"/>
            <family val="2"/>
          </rPr>
          <t xml:space="preserve">
Fall 2016 RSB page 73: 99.9/7331.4 = 1.36%.</t>
        </r>
      </text>
    </comment>
    <comment ref="C64" authorId="0" shapeId="0">
      <text>
        <r>
          <rPr>
            <b/>
            <sz val="8"/>
            <color indexed="81"/>
            <rFont val="Tahoma"/>
            <family val="2"/>
          </rPr>
          <t>Alan:</t>
        </r>
        <r>
          <rPr>
            <sz val="8"/>
            <color indexed="81"/>
            <rFont val="Tahoma"/>
            <family val="2"/>
          </rPr>
          <t xml:space="preserve">
From Leg Finance model Jan 2017.  Also, $696 M Dividend Funding - $27M / $1,022 PFD gives 654,600, close to this value.</t>
        </r>
      </text>
    </comment>
    <comment ref="C65" authorId="0" shapeId="0">
      <text>
        <r>
          <rPr>
            <b/>
            <sz val="8"/>
            <color indexed="81"/>
            <rFont val="Tahoma"/>
            <family val="2"/>
          </rPr>
          <t>Alan:</t>
        </r>
        <r>
          <rPr>
            <sz val="8"/>
            <color indexed="81"/>
            <rFont val="Tahoma"/>
            <family val="2"/>
          </rPr>
          <t xml:space="preserve">
Average to projected Population growth in Alaska DOL Population forecast published April 2016.</t>
        </r>
      </text>
    </comment>
    <comment ref="B76" authorId="0" shapeId="0">
      <text>
        <r>
          <rPr>
            <b/>
            <sz val="8"/>
            <color indexed="81"/>
            <rFont val="Tahoma"/>
            <family val="2"/>
          </rPr>
          <t>Alan:</t>
        </r>
        <r>
          <rPr>
            <sz val="8"/>
            <color indexed="81"/>
            <rFont val="Tahoma"/>
            <family val="2"/>
          </rPr>
          <t xml:space="preserve">
See page 2 of Fall 2016 Revenue Sources Book.</t>
        </r>
      </text>
    </comment>
    <comment ref="B78" authorId="0" shapeId="0">
      <text>
        <r>
          <rPr>
            <b/>
            <sz val="8"/>
            <color indexed="81"/>
            <rFont val="Tahoma"/>
            <family val="2"/>
          </rPr>
          <t>Alan:</t>
        </r>
        <r>
          <rPr>
            <sz val="8"/>
            <color indexed="81"/>
            <rFont val="Tahoma"/>
            <family val="2"/>
          </rPr>
          <t xml:space="preserve">
IP was removed for FY17 in calendar 2016 Legislative Session.</t>
        </r>
      </text>
    </comment>
  </commentList>
</comments>
</file>

<file path=xl/comments4.xml><?xml version="1.0" encoding="utf-8"?>
<comments xmlns="http://schemas.openxmlformats.org/spreadsheetml/2006/main">
  <authors>
    <author>Alan</author>
  </authors>
  <commentList>
    <comment ref="B11" authorId="0" shapeId="0">
      <text>
        <r>
          <rPr>
            <b/>
            <sz val="8"/>
            <color indexed="81"/>
            <rFont val="Tahoma"/>
            <family val="2"/>
          </rPr>
          <t>Alan:</t>
        </r>
        <r>
          <rPr>
            <sz val="8"/>
            <color indexed="81"/>
            <rFont val="Tahoma"/>
            <family val="2"/>
          </rPr>
          <t xml:space="preserve">
FY 17 Spending budget of 4368 + 65 adjustment for HB 374 - $30 M for Oil Tax Credits accounted separately minus $61 M for vetoes.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Alan:</t>
        </r>
        <r>
          <rPr>
            <sz val="8"/>
            <color indexed="81"/>
            <rFont val="Tahoma"/>
            <family val="2"/>
          </rPr>
          <t xml:space="preserve">
Extra $25 M for University and Public Broadcasting funding that was not in FY17 budget.</t>
        </r>
      </text>
    </comment>
    <comment ref="C43" authorId="0" shapeId="0">
      <text>
        <r>
          <rPr>
            <b/>
            <sz val="8"/>
            <color indexed="81"/>
            <rFont val="Tahoma"/>
            <family val="2"/>
          </rPr>
          <t>Alan:</t>
        </r>
        <r>
          <rPr>
            <sz val="8"/>
            <color indexed="81"/>
            <rFont val="Tahoma"/>
            <family val="2"/>
          </rPr>
          <t xml:space="preserve">
Income tax does not start until Jan 1, 2019.</t>
        </r>
      </text>
    </comment>
    <comment ref="D43" authorId="0" shapeId="0">
      <text>
        <r>
          <rPr>
            <b/>
            <sz val="8"/>
            <color indexed="81"/>
            <rFont val="Tahoma"/>
            <family val="2"/>
          </rPr>
          <t>Alan:</t>
        </r>
        <r>
          <rPr>
            <sz val="8"/>
            <color indexed="81"/>
            <rFont val="Tahoma"/>
            <family val="2"/>
          </rPr>
          <t xml:space="preserve">
From 3/28/2017 Fiscal Note.  Netting out extra operating cost associated with Income Tax collection.</t>
        </r>
      </text>
    </comment>
    <comment ref="B81" authorId="0" shapeId="0">
      <text>
        <r>
          <rPr>
            <b/>
            <sz val="8"/>
            <color indexed="81"/>
            <rFont val="Tahoma"/>
            <family val="2"/>
          </rPr>
          <t>Alan:</t>
        </r>
        <r>
          <rPr>
            <sz val="8"/>
            <color indexed="81"/>
            <rFont val="Tahoma"/>
            <family val="2"/>
          </rPr>
          <t xml:space="preserve">
Net Offsets (considering carry-forward) in 2014 were $26.2 million and $37.5 million in 2015.  Transfers to HSS, DOC, &amp; Violent Crimes are affected by size of Dividend.  Because of plans to lower Dividend, I am using a $30 million figure.</t>
        </r>
      </text>
    </comment>
  </commentList>
</comments>
</file>

<file path=xl/comments5.xml><?xml version="1.0" encoding="utf-8"?>
<comments xmlns="http://schemas.openxmlformats.org/spreadsheetml/2006/main">
  <authors>
    <author>Alan</author>
  </authors>
  <commentList>
    <comment ref="A6" authorId="0" shapeId="0">
      <text>
        <r>
          <rPr>
            <b/>
            <sz val="8"/>
            <color indexed="81"/>
            <rFont val="Tahoma"/>
            <family val="2"/>
          </rPr>
          <t>Alan:</t>
        </r>
        <r>
          <rPr>
            <sz val="8"/>
            <color indexed="81"/>
            <rFont val="Tahoma"/>
            <family val="2"/>
          </rPr>
          <t xml:space="preserve">
Starting Values are from Springl 2016 DOR Forecast.</t>
        </r>
      </text>
    </comment>
    <comment ref="A9" authorId="0" shapeId="0">
      <text>
        <r>
          <rPr>
            <b/>
            <sz val="8"/>
            <color indexed="81"/>
            <rFont val="Tahoma"/>
            <family val="2"/>
          </rPr>
          <t>Alan:</t>
        </r>
        <r>
          <rPr>
            <sz val="8"/>
            <color indexed="81"/>
            <rFont val="Tahoma"/>
            <family val="2"/>
          </rPr>
          <t xml:space="preserve">
Values from page 2 of Fall 2016 Revenue Sources Book.  I include both Non-Petroleum Revenue and UGF Investment Revenue.  Also ties with page 108 in the RSB.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</rPr>
          <t>Alan:</t>
        </r>
        <r>
          <rPr>
            <sz val="8"/>
            <color indexed="81"/>
            <rFont val="Tahoma"/>
            <family val="2"/>
          </rPr>
          <t xml:space="preserve">
Estimated, as does not occur until FY17 Legislative Session.</t>
        </r>
      </text>
    </comment>
    <comment ref="B91" authorId="0" shapeId="0">
      <text>
        <r>
          <rPr>
            <b/>
            <sz val="8"/>
            <color indexed="81"/>
            <rFont val="Tahoma"/>
            <family val="2"/>
          </rPr>
          <t>Alan:</t>
        </r>
        <r>
          <rPr>
            <sz val="8"/>
            <color indexed="81"/>
            <rFont val="Tahoma"/>
            <family val="2"/>
          </rPr>
          <t xml:space="preserve">
Net Offsets (considering carry-forward) in 2014 were $26.2 million and $37.5 million in 2015.  Transfers to HSS, DOC, &amp; Violent Crimes are affected by size of Dividend.  Because of plans to lower Dividend, I am using a $30 million figure.</t>
        </r>
      </text>
    </comment>
  </commentList>
</comments>
</file>

<file path=xl/comments6.xml><?xml version="1.0" encoding="utf-8"?>
<comments xmlns="http://schemas.openxmlformats.org/spreadsheetml/2006/main">
  <authors>
    <author>Alan</author>
  </authors>
  <commentList>
    <comment ref="A6" authorId="0" shapeId="0">
      <text>
        <r>
          <rPr>
            <b/>
            <sz val="8"/>
            <color indexed="81"/>
            <rFont val="Tahoma"/>
            <family val="2"/>
          </rPr>
          <t>Alan:</t>
        </r>
        <r>
          <rPr>
            <sz val="8"/>
            <color indexed="81"/>
            <rFont val="Tahoma"/>
            <family val="2"/>
          </rPr>
          <t xml:space="preserve">
Starting Values are from Springl 2016 DOR Forecast.</t>
        </r>
      </text>
    </comment>
    <comment ref="A9" authorId="0" shapeId="0">
      <text>
        <r>
          <rPr>
            <b/>
            <sz val="8"/>
            <color indexed="81"/>
            <rFont val="Tahoma"/>
            <family val="2"/>
          </rPr>
          <t>Alan:</t>
        </r>
        <r>
          <rPr>
            <sz val="8"/>
            <color indexed="81"/>
            <rFont val="Tahoma"/>
            <family val="2"/>
          </rPr>
          <t xml:space="preserve">
Values from page 2 of Fall 2016 Revenue Sources Book.  I include both Non-Petroleum Revenue and UGF Investment Revenue.  Also ties with page 108 in the RSB.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</rPr>
          <t>Alan:</t>
        </r>
        <r>
          <rPr>
            <sz val="8"/>
            <color indexed="81"/>
            <rFont val="Tahoma"/>
            <family val="2"/>
          </rPr>
          <t xml:space="preserve">
Estimated, as does not occur until FY17 Legislative Session.</t>
        </r>
      </text>
    </comment>
    <comment ref="B19" authorId="0" shapeId="0">
      <text>
        <r>
          <rPr>
            <b/>
            <sz val="8"/>
            <color indexed="81"/>
            <rFont val="Tahoma"/>
            <family val="2"/>
          </rPr>
          <t>Alan:</t>
        </r>
        <r>
          <rPr>
            <sz val="8"/>
            <color indexed="81"/>
            <rFont val="Tahoma"/>
            <family val="2"/>
          </rPr>
          <t xml:space="preserve">
From Fall 2016 RSB page 106.</t>
        </r>
      </text>
    </comment>
    <comment ref="A21" authorId="0" shapeId="0">
      <text>
        <r>
          <rPr>
            <b/>
            <sz val="8"/>
            <color indexed="81"/>
            <rFont val="Tahoma"/>
            <family val="2"/>
          </rPr>
          <t>Alan:</t>
        </r>
        <r>
          <rPr>
            <sz val="8"/>
            <color indexed="81"/>
            <rFont val="Tahoma"/>
            <family val="2"/>
          </rPr>
          <t xml:space="preserve">
This includes UGF Oil and Gas Royalties,  Restricted Royalties to Permanent Fund, Restricted Royalties to Public School Trust Fund.</t>
        </r>
      </text>
    </comment>
    <comment ref="A24" authorId="0" shapeId="0">
      <text>
        <r>
          <rPr>
            <b/>
            <sz val="8"/>
            <color indexed="81"/>
            <rFont val="Tahoma"/>
            <family val="2"/>
          </rPr>
          <t>Alan:</t>
        </r>
        <r>
          <rPr>
            <sz val="8"/>
            <color indexed="81"/>
            <rFont val="Tahoma"/>
            <family val="2"/>
          </rPr>
          <t xml:space="preserve">
See Royalty Scratchpad sheet.</t>
        </r>
      </text>
    </comment>
    <comment ref="A26" authorId="0" shapeId="0">
      <text>
        <r>
          <rPr>
            <b/>
            <sz val="8"/>
            <color indexed="81"/>
            <rFont val="Tahoma"/>
            <family val="2"/>
          </rPr>
          <t>Alan:</t>
        </r>
        <r>
          <rPr>
            <sz val="8"/>
            <color indexed="81"/>
            <rFont val="Tahoma"/>
            <family val="2"/>
          </rPr>
          <t xml:space="preserve">
This includes Production Tax and Oil and Gas Hazardous Release.</t>
        </r>
      </text>
    </comment>
    <comment ref="A28" authorId="0" shapeId="0">
      <text>
        <r>
          <rPr>
            <b/>
            <sz val="8"/>
            <color indexed="81"/>
            <rFont val="Tahoma"/>
            <family val="2"/>
          </rPr>
          <t>Alan:</t>
        </r>
        <r>
          <rPr>
            <sz val="8"/>
            <color indexed="81"/>
            <rFont val="Tahoma"/>
            <family val="2"/>
          </rPr>
          <t xml:space="preserve">
Set to 50% of Fall 2016 Official Revenue Value.</t>
        </r>
      </text>
    </comment>
    <comment ref="B117" authorId="0" shapeId="0">
      <text>
        <r>
          <rPr>
            <b/>
            <sz val="8"/>
            <color indexed="81"/>
            <rFont val="Tahoma"/>
            <family val="2"/>
          </rPr>
          <t>Alan:</t>
        </r>
        <r>
          <rPr>
            <sz val="8"/>
            <color indexed="81"/>
            <rFont val="Tahoma"/>
            <family val="2"/>
          </rPr>
          <t xml:space="preserve">
Net Offsets (considering carry-forward) in 2014 were $26.2 million and $37.5 million in 2015.  Transfers to HSS, DOC, &amp; Violent Crimes are affected by size of Dividend.  Because of plans to lower Dividend, I am using a $30 million figure.</t>
        </r>
      </text>
    </comment>
  </commentList>
</comments>
</file>

<file path=xl/comments7.xml><?xml version="1.0" encoding="utf-8"?>
<comments xmlns="http://schemas.openxmlformats.org/spreadsheetml/2006/main">
  <authors>
    <author>Alan</author>
  </authors>
  <commentList>
    <comment ref="B11" authorId="0" shapeId="0">
      <text>
        <r>
          <rPr>
            <b/>
            <sz val="8"/>
            <color indexed="81"/>
            <rFont val="Tahoma"/>
            <family val="2"/>
          </rPr>
          <t>Alan:</t>
        </r>
        <r>
          <rPr>
            <sz val="8"/>
            <color indexed="81"/>
            <rFont val="Tahoma"/>
            <family val="2"/>
          </rPr>
          <t xml:space="preserve">
FY 17 Spending budget of 4368 + 65 adjustment for HB 374 - $30 M for Oil Tax Credits accounted separately minus $61 M for vetoes.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Alan:</t>
        </r>
        <r>
          <rPr>
            <sz val="8"/>
            <color indexed="81"/>
            <rFont val="Tahoma"/>
            <family val="2"/>
          </rPr>
          <t xml:space="preserve">
Extra $25 M for University and Public Broadcasting funding that was not in FY17 budget.</t>
        </r>
      </text>
    </comment>
    <comment ref="B73" authorId="0" shapeId="0">
      <text>
        <r>
          <rPr>
            <b/>
            <sz val="8"/>
            <color indexed="81"/>
            <rFont val="Tahoma"/>
            <family val="2"/>
          </rPr>
          <t>Alan:</t>
        </r>
        <r>
          <rPr>
            <sz val="8"/>
            <color indexed="81"/>
            <rFont val="Tahoma"/>
            <family val="2"/>
          </rPr>
          <t xml:space="preserve">
Net Offsets (considering carry-forward) in 2014 were $26.2 million and $37.5 million in 2015.  Transfers to HSS, DOC, &amp; Violent Crimes are affected by size of Dividend.  Because of plans to lower Dividend, I am using a $30 million figure.</t>
        </r>
      </text>
    </comment>
  </commentList>
</comments>
</file>

<file path=xl/comments8.xml><?xml version="1.0" encoding="utf-8"?>
<comments xmlns="http://schemas.openxmlformats.org/spreadsheetml/2006/main">
  <authors>
    <author>Alan</author>
  </authors>
  <commentList>
    <comment ref="B11" authorId="0" shapeId="0">
      <text>
        <r>
          <rPr>
            <b/>
            <sz val="8"/>
            <color indexed="81"/>
            <rFont val="Tahoma"/>
            <family val="2"/>
          </rPr>
          <t>Alan:</t>
        </r>
        <r>
          <rPr>
            <sz val="8"/>
            <color indexed="81"/>
            <rFont val="Tahoma"/>
            <family val="2"/>
          </rPr>
          <t xml:space="preserve">
FY 17 Spending budget of 4368 + 65 adjustment for HB 374 - $30 M for Oil Tax Credits accounted separately minus $61 M for vetoes.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Alan:</t>
        </r>
        <r>
          <rPr>
            <sz val="8"/>
            <color indexed="81"/>
            <rFont val="Tahoma"/>
            <family val="2"/>
          </rPr>
          <t xml:space="preserve">
Extra $25 M for University and Public Broadcasting funding that was not in FY17 budget.</t>
        </r>
      </text>
    </comment>
    <comment ref="B22" authorId="0" shapeId="0">
      <text>
        <r>
          <rPr>
            <b/>
            <sz val="8"/>
            <color indexed="81"/>
            <rFont val="Tahoma"/>
            <family val="2"/>
          </rPr>
          <t>Alan:</t>
        </r>
        <r>
          <rPr>
            <sz val="8"/>
            <color indexed="81"/>
            <rFont val="Tahoma"/>
            <family val="2"/>
          </rPr>
          <t xml:space="preserve">
Revised estimate of Governor's veto is $683 according to Daniel, Dunleavy's aide.</t>
        </r>
      </text>
    </comment>
  </commentList>
</comments>
</file>

<file path=xl/comments9.xml><?xml version="1.0" encoding="utf-8"?>
<comments xmlns="http://schemas.openxmlformats.org/spreadsheetml/2006/main">
  <authors>
    <author>Alan</author>
  </authors>
  <commentList>
    <comment ref="A16" authorId="0" shapeId="0">
      <text>
        <r>
          <rPr>
            <b/>
            <sz val="8"/>
            <color indexed="81"/>
            <rFont val="Tahoma"/>
            <family val="2"/>
          </rPr>
          <t>Alan:</t>
        </r>
        <r>
          <rPr>
            <sz val="8"/>
            <color indexed="81"/>
            <rFont val="Tahoma"/>
            <family val="2"/>
          </rPr>
          <t xml:space="preserve">
Page 8 Excec Summary</t>
        </r>
      </text>
    </comment>
    <comment ref="A17" authorId="0" shapeId="0">
      <text>
        <r>
          <rPr>
            <b/>
            <sz val="8"/>
            <color indexed="81"/>
            <rFont val="Tahoma"/>
            <family val="2"/>
          </rPr>
          <t>Alan:</t>
        </r>
        <r>
          <rPr>
            <sz val="8"/>
            <color indexed="81"/>
            <rFont val="Tahoma"/>
            <family val="2"/>
          </rPr>
          <t xml:space="preserve">
Page 108, Fall 2016 RSB</t>
        </r>
      </text>
    </comment>
  </commentList>
</comments>
</file>

<file path=xl/sharedStrings.xml><?xml version="1.0" encoding="utf-8"?>
<sst xmlns="http://schemas.openxmlformats.org/spreadsheetml/2006/main" count="1512" uniqueCount="757">
  <si>
    <t>FY 17</t>
  </si>
  <si>
    <t>Total Plugs</t>
  </si>
  <si>
    <t>Current Legislature</t>
  </si>
  <si>
    <t>Next Legislature</t>
  </si>
  <si>
    <t>Current FY</t>
  </si>
  <si>
    <t>Solutions</t>
  </si>
  <si>
    <t>Total UGF Revenues, $ mil.</t>
  </si>
  <si>
    <t>FY 12</t>
  </si>
  <si>
    <t>FY 13</t>
  </si>
  <si>
    <t>FY 14</t>
  </si>
  <si>
    <t>FY 15</t>
  </si>
  <si>
    <t>FY 16</t>
  </si>
  <si>
    <t>FY 18</t>
  </si>
  <si>
    <t>FY 19</t>
  </si>
  <si>
    <t>FY 20</t>
  </si>
  <si>
    <t>FY 21</t>
  </si>
  <si>
    <t>Balance, End of Fiscal Year</t>
  </si>
  <si>
    <t>/year</t>
  </si>
  <si>
    <t>Fiscal Gap (negative is Gap), $ mil.</t>
  </si>
  <si>
    <t>PFD Recipients:</t>
  </si>
  <si>
    <t>List of Changes by Version</t>
  </si>
  <si>
    <t>Withdrawl from CBR</t>
  </si>
  <si>
    <t>Withdrawl from ER</t>
  </si>
  <si>
    <t>Draw to Plug Fiscal Gap when no CBR</t>
  </si>
  <si>
    <t>Permanent Fund, Status Quo</t>
  </si>
  <si>
    <t>Withdrawl for Dividends</t>
  </si>
  <si>
    <t>Misc. to General Fund (Amerada Hess)</t>
  </si>
  <si>
    <t>Statutory Income</t>
  </si>
  <si>
    <t>Permanent Fund Balance in Base Case (do nothing)</t>
  </si>
  <si>
    <t>Earnings Reserve Balance in Base Case (do nothing)</t>
  </si>
  <si>
    <t>Permanent Fund Balance with solutions, End of FY</t>
  </si>
  <si>
    <t>Earnings Reserve Balance with solutions, End of FY</t>
  </si>
  <si>
    <t>Earnings Reserve</t>
  </si>
  <si>
    <t>Withdrawl for Inflation Proofing</t>
  </si>
  <si>
    <t>Dividend amount in Base Case (do nothing)</t>
  </si>
  <si>
    <t>Accounting Net Income</t>
  </si>
  <si>
    <t>Expenses &amp; Other Payments from Dividend Fund:</t>
  </si>
  <si>
    <t>Calculated Dividend per Recipient:</t>
  </si>
  <si>
    <t>/ recipient</t>
  </si>
  <si>
    <t>Dividend subject to Minimum Floor</t>
  </si>
  <si>
    <t>PFD Minimum Floor Draw</t>
  </si>
  <si>
    <t>Status Quo</t>
  </si>
  <si>
    <t>* First Public Release</t>
  </si>
  <si>
    <t>Version v1, 2015-10-19</t>
  </si>
  <si>
    <t>Withdrawl from Constitutional Budget Reserve (CBR)</t>
  </si>
  <si>
    <t>Withdrawl from Permanent Fund Earnings Reserve (ER)</t>
  </si>
  <si>
    <t>Version 2015-10-22</t>
  </si>
  <si>
    <t>* Added Checkbox to allow SB 114 to be delayed by one year.</t>
  </si>
  <si>
    <t>These Production Tax revenue values are expressed in $ per barrel.  They were calculated from a similar</t>
  </si>
  <si>
    <t>matrix provided by David Herbert at the DOR, which gave gross $ of Tax Revenue for each year and each</t>
  </si>
  <si>
    <t>forecast were used to determine revenue per barrel.</t>
  </si>
  <si>
    <t>These values are used on the Main Model sheet, interpolating between the listed oil prices.</t>
  </si>
  <si>
    <t>Average Oil Production, thousand barrels/day</t>
  </si>
  <si>
    <t>Base Corporate Income Tax, $/bbl</t>
  </si>
  <si>
    <t>Base Oil Price for Corp. Tax, $/bbl</t>
  </si>
  <si>
    <t>Corporate Income Tax @ Actual Oil Price, $/bbl</t>
  </si>
  <si>
    <t>Corporate Income Tax @ Actual Oil Price, $ mil.</t>
  </si>
  <si>
    <t>% of Royalty Revenue to UGF</t>
  </si>
  <si>
    <t>Unrestricted Petroleum Royalties, $ mil.</t>
  </si>
  <si>
    <t>Other Unrestricted Petroleum Revenues, $ mil.</t>
  </si>
  <si>
    <t>Version 2015-10-26</t>
  </si>
  <si>
    <t>* Replaced Royalty, Production Tax &amp; Corporate Income Tax curve fits with Lookup Tables + interpolation</t>
  </si>
  <si>
    <t>to be consistent with DOR data.  Acutally, for Corporate Income Tax, a simple formula is used to adjust tax</t>
  </si>
  <si>
    <t>for an oil price different than the base forecast price.</t>
  </si>
  <si>
    <t>* The % of the Royalties going to UGF in the Status Quo is now an input that varies slightly from 69% each</t>
  </si>
  <si>
    <t>year.</t>
  </si>
  <si>
    <t>* A Total Royalty line is now calculated and the pieces of the Royalty stream are calculated from that line.</t>
  </si>
  <si>
    <t>Before, calculations for many of the pieces were based on the UGF Royalty stream, not the total Royalty stream.</t>
  </si>
  <si>
    <t>This change was necessary due to the UGF stream not being exactly 69% of the total; also, this method is more</t>
  </si>
  <si>
    <t>understandable.</t>
  </si>
  <si>
    <t>Permanent Fund Model &amp; Miscellaneous Inputs</t>
  </si>
  <si>
    <t>million</t>
  </si>
  <si>
    <t>* Added Sovereign Wealth Model.</t>
  </si>
  <si>
    <t>* Changed draw from PF under Sovereign plan to be $3,200 million / year, adjusted for 2.25% inflation.</t>
  </si>
  <si>
    <t>* Added the new DOR Oil Price Forecast as an option.</t>
  </si>
  <si>
    <t>* Added a Transitional Dividend Floor option to model, taking UGF money to provide funding.</t>
  </si>
  <si>
    <t>Version 2015-10-28</t>
  </si>
  <si>
    <t>Version 2015-10-29</t>
  </si>
  <si>
    <t>* Fixed error in Sovereign Model where Production Tax revenue did not flow into Permanent Fund.</t>
  </si>
  <si>
    <t>* Add Transitional Dividend Floor feature to Sovereign Wealth model.</t>
  </si>
  <si>
    <t>* Used Excel Outline (Data Grouping) feature for rows that are normally hidden, so they can easily be unhidden.</t>
  </si>
  <si>
    <t>Dividend Amount</t>
  </si>
  <si>
    <t>ER Funding needed for Minimum Floor, $ million</t>
  </si>
  <si>
    <t>Version 2015-11-11</t>
  </si>
  <si>
    <t>* Changed Starting CBR balance to include some one-time adjustments.</t>
  </si>
  <si>
    <t>* Changed FY16 Spending to be prior to Fund Transfers.  Then escalated spending at inflation rate.</t>
  </si>
  <si>
    <t>* Moved extra Royalties from stair-stepping into Earnings Reserve instead of Principal.</t>
  </si>
  <si>
    <t>* Added Dividend Averaging feature.</t>
  </si>
  <si>
    <t>* Added line to CBR graph to show Status Quo with non-SB114 Solutions.</t>
  </si>
  <si>
    <t>* In Sovereign Model, changed Oil Tax Credit savings to full amount of tax credit in each year, which</t>
  </si>
  <si>
    <t xml:space="preserve">   starts at $450 million in FY17 and declines to $275 in FY19 and beyond.</t>
  </si>
  <si>
    <t>* In Sovereign Model, sent Production Tax and increase in PF Royalties to the Earnings Reserve.</t>
  </si>
  <si>
    <t>CBR Balance with Adjustments</t>
  </si>
  <si>
    <t>Alaska Housing Capital Corp. Fund:</t>
  </si>
  <si>
    <t>Alaska Capital Income Fund:</t>
  </si>
  <si>
    <t>Alaska Higher Education Investment Fund:</t>
  </si>
  <si>
    <t xml:space="preserve">  |</t>
  </si>
  <si>
    <t>CBR/misc Fund  Balance with solutions, end of Fiscal Yr</t>
  </si>
  <si>
    <t>CBR/misc Balance in Base Case (do nothing)</t>
  </si>
  <si>
    <t>Version 2015-11-12</t>
  </si>
  <si>
    <t>* Added various accessible fund balances to CBR savings, including PCE fund.  See the "PF Model" sheet.</t>
  </si>
  <si>
    <t>Oil Price Forecast, $/bbl:</t>
  </si>
  <si>
    <t>Permanent Fund, Generic Model</t>
  </si>
  <si>
    <t>matrix provided by David Herbert at the DOR, which gave gross $ of Royalty Revenue for each year and each</t>
  </si>
  <si>
    <t>Version 2015-12-11</t>
  </si>
  <si>
    <t>* Implemented details of Governor's Permanent Fund Protection Plan</t>
  </si>
  <si>
    <t>* Incorporate Fall 2015 DOR Oil Price and Production Forecast</t>
  </si>
  <si>
    <t>FY 2017</t>
  </si>
  <si>
    <t>FY 2018</t>
  </si>
  <si>
    <t>FY 2019</t>
  </si>
  <si>
    <t>FY 2020</t>
  </si>
  <si>
    <t>FY 2021</t>
  </si>
  <si>
    <t>* Adjusted Royalty Revenue lookup table to match Royalty amounts in Fall 2015 Revenue Forecast.</t>
  </si>
  <si>
    <t>Date</t>
  </si>
  <si>
    <t>FY</t>
  </si>
  <si>
    <t>FY %</t>
  </si>
  <si>
    <t>With Solutions</t>
  </si>
  <si>
    <t>CBR+Misc  Balance</t>
  </si>
  <si>
    <t>CBR with Solutions, Start of Year</t>
  </si>
  <si>
    <t>CBR Status Quo, Start of Year</t>
  </si>
  <si>
    <t>Chart Date Labels</t>
  </si>
  <si>
    <t>CBR+Misc Change Rate during Year</t>
  </si>
  <si>
    <t>With Solutions, no SB 114</t>
  </si>
  <si>
    <t>CBR+Misc Balance, Begin-FY</t>
  </si>
  <si>
    <t>* Reduced transfers from Dividend funding from $36 million down to $30 million.</t>
  </si>
  <si>
    <t>* Refined X-axis on charts.  Created monthly data for CBR charts to better visualize CBR = 0 point.</t>
  </si>
  <si>
    <t>Solutions, $ millions:</t>
  </si>
  <si>
    <t>Generic Model</t>
  </si>
  <si>
    <t>* Added ability to vary weighting of prior 4 years for Dividend Averaging.</t>
  </si>
  <si>
    <t>Version 2015-12-21</t>
  </si>
  <si>
    <t>Total Royalty Revenues per Barrel</t>
  </si>
  <si>
    <t>Total Oil &amp; Gas Royalty, $ / bbl</t>
  </si>
  <si>
    <t>Price</t>
  </si>
  <si>
    <t>Total Production Tax Revenues per Barrel</t>
  </si>
  <si>
    <t>Unrestricted Oil &amp; Gas Production Tax</t>
  </si>
  <si>
    <t>Total Petroleum Royalty Revenue, $/bbl</t>
  </si>
  <si>
    <t>Fiscal Year</t>
  </si>
  <si>
    <t xml:space="preserve">Total Petroleum Royalty Revenue, $ mil. </t>
  </si>
  <si>
    <t>Production Tax, Hazardous Release  Revenue, $/bbl</t>
  </si>
  <si>
    <t>Production Tax, Hazardous Release Revenue, $ mil.</t>
  </si>
  <si>
    <t>These Royalty Tax revenue values are expressed in $ per barrel.  They were calculated from a similar</t>
  </si>
  <si>
    <t>Version 2015-12-23</t>
  </si>
  <si>
    <t>* Incorporated new Royalty and Production Tax Matrix from DOR.</t>
  </si>
  <si>
    <t>APFC Expenses</t>
  </si>
  <si>
    <t>Permanent Fund, Values assumed to be constant across scenarios</t>
  </si>
  <si>
    <t>Version 2015-12-31</t>
  </si>
  <si>
    <t>* Used new PF Return assumptions from the November 20, 2015 Fund Financial History  &amp; Projections sheet.</t>
  </si>
  <si>
    <t xml:space="preserve">   Inflation-Proofing calculation.</t>
  </si>
  <si>
    <t xml:space="preserve">   PFC expenses and Legislative Appropriations.  Also, more accurately dealt with Unrealized Gains in the</t>
  </si>
  <si>
    <t>* Improved PF model to more closely match the PFC model.  Largest change was accounting for $114 million of</t>
  </si>
  <si>
    <t>This model analyses several solutions being promoted by various entities; it is not an endorsement of any specific solution.</t>
  </si>
  <si>
    <t>Version 2016-01-04</t>
  </si>
  <si>
    <t>* Added a Disclaimer to the top model pages.</t>
  </si>
  <si>
    <t>* For PF Protection Plan, only deposited 25% of Royalties into Corpus of Fund, and the rest, aside</t>
  </si>
  <si>
    <t>from Dividends, goes to the Earnings Reserve.</t>
  </si>
  <si>
    <t>* Default Setting for SB 114 is now No Dividend Averaging.</t>
  </si>
  <si>
    <t>* Changed Graph axes to Billions of $</t>
  </si>
  <si>
    <t>* Changed monthly values to middle of month instead of beginning for better estimation of CBR bust month.</t>
  </si>
  <si>
    <t>Net Change in Earnings Reserve</t>
  </si>
  <si>
    <t>Earning Reserve, Status Quo</t>
  </si>
  <si>
    <t>Earning Reserve, With Solutions</t>
  </si>
  <si>
    <t>ER Balance, Begin-FY</t>
  </si>
  <si>
    <t>ER Balance</t>
  </si>
  <si>
    <t>CBR+Misc Change Rate / yr</t>
  </si>
  <si>
    <t>ER Change Rate / yr</t>
  </si>
  <si>
    <t>Date of Zero Balance:</t>
  </si>
  <si>
    <t>Zero Balance as a Year:</t>
  </si>
  <si>
    <t>Monthly CBR &amp; ER Analysis</t>
  </si>
  <si>
    <t>The only reason for doing this is get an accurate and not distorted intersection with CBR = 0 and ER=0.</t>
  </si>
  <si>
    <t>* Stopped Earnings Reserve from falling below zero, and used a monthly model for graphing.</t>
  </si>
  <si>
    <t>Version 2016-01-10</t>
  </si>
  <si>
    <t>* Hid worksheets that were support, such as the sheets that implement monthly model for graphing and</t>
  </si>
  <si>
    <t xml:space="preserve">   the sheets that have the Royalty and Production Tax values.</t>
  </si>
  <si>
    <t>years more</t>
  </si>
  <si>
    <t>* Fixed problem with extrapolation of CBR Bust point beyond 5 year analysis period.</t>
  </si>
  <si>
    <t>* Changed draw for PF Protection Act from $3.2 B to $3.3 B, per Governor's current bill.</t>
  </si>
  <si>
    <t xml:space="preserve">* For PF Protection, changed impact of hardening and raising oil tax floor to 5%.  Drops to </t>
  </si>
  <si>
    <t xml:space="preserve">   $50 million impact in FY19.</t>
  </si>
  <si>
    <t xml:space="preserve">* For PF Protection: Matched New Revenue projections in  Governor's "Executive Summary of </t>
  </si>
  <si>
    <t xml:space="preserve">   FY2017 10-Year Plan",  except for for raising/hardening of Oil Tax floor.</t>
  </si>
  <si>
    <t>* Fixed error with Status Quo Dividend size in PF Protection Plan model.</t>
  </si>
  <si>
    <t>* Updated FY16 Inflation assumption, consistent with Dec 31, 2015 PFC Forecast.</t>
  </si>
  <si>
    <t>Enter the desired Oil Price Forecast and Oil Production Forecast below.</t>
  </si>
  <si>
    <t>Oil Prices and Production</t>
  </si>
  <si>
    <t>Inputs Common to All Fiscal Plan Models</t>
  </si>
  <si>
    <t>Here are some possible oil price forecasts to copy to the row above</t>
  </si>
  <si>
    <t>Change these on the "Common Inputs" sheet.</t>
  </si>
  <si>
    <t>should not be changed.</t>
  </si>
  <si>
    <t xml:space="preserve">  These are the inputs that are actually used in the calculations.</t>
  </si>
  <si>
    <t>Projected deficit (negative is deficit)</t>
  </si>
  <si>
    <t>Additional plan specific inputs are on the individual model sheets.</t>
  </si>
  <si>
    <t>* Added model for Goldsmith MSY plan.</t>
  </si>
  <si>
    <t>* Moved common inputs to separate sheet, with overall model explanation</t>
  </si>
  <si>
    <t>Rate of Return and Inflation Forecast Assumptions</t>
  </si>
  <si>
    <t>CBR Earnings</t>
  </si>
  <si>
    <t>* Updated FY16 Starting Fund Balances, using Leg. Finance FY17 Budget summary.</t>
  </si>
  <si>
    <t>Dividend Related Inputs</t>
  </si>
  <si>
    <t xml:space="preserve">     Dividend Funding</t>
  </si>
  <si>
    <t>Expenses and Transfers that deduct from</t>
  </si>
  <si>
    <t>Growth Rate in Dividend Recipients</t>
  </si>
  <si>
    <t>/ year</t>
  </si>
  <si>
    <t>Earning Reserve, Generic Model</t>
  </si>
  <si>
    <t>* Added Draft HB 224 Model.</t>
  </si>
  <si>
    <t>Version 2016-02-10</t>
  </si>
  <si>
    <t>The additional choices below are illustrative only. Choose your own and plug in the annual values in $ millions to see the impact.</t>
  </si>
  <si>
    <t>PFD Expenses + Transfers (e.g. hold harmless)</t>
  </si>
  <si>
    <t>(leave blank to use default value)</t>
  </si>
  <si>
    <t>Miscellaneous Inputs</t>
  </si>
  <si>
    <t>CBR Settlement Deposits</t>
  </si>
  <si>
    <t>Version 2016-02-25</t>
  </si>
  <si>
    <t>Contact Alan Mitchell, alan@analysisnorth.com, 907-310-9124, for assistance with the models.</t>
  </si>
  <si>
    <t>* Incorporated Sponsor Substitute SB 114 changes, including conventional FY17 Dividend.</t>
  </si>
  <si>
    <t>* Moved Earnings Reserve Draws for all Plans into the Fiscal Year where the draw is used.</t>
  </si>
  <si>
    <t>* Increased default Interest Rate for the CBR to 2%, consistent with Legislative Finance assumption.</t>
  </si>
  <si>
    <t xml:space="preserve">   Previsously, draws were removed from the Earnings Reserve at the end of the prior Fiscal Year.</t>
  </si>
  <si>
    <t>* Adjusted new revenue amounts in the Governor's Plan to be consistent with Fiscal Notes.</t>
  </si>
  <si>
    <t>* Included POMV draws in the 1/2 year return calculations for the Permanent Fund.</t>
  </si>
  <si>
    <t xml:space="preserve">   adjustment, consistent with the Governor's forecasted budget.</t>
  </si>
  <si>
    <t>* The $200 M Oil Tax Credit deferment as part of the FY17 spending budget instead of as a CBR balance</t>
  </si>
  <si>
    <t>* Completed HB 224 model (no longer Draft).  Included fixed Dividends of $1,000 for FY17 and FY18.</t>
  </si>
  <si>
    <t>* Allow override of CBR Interest rate on an individual Fiscal Plan basis.  If a plan keeps the CBR stable and</t>
  </si>
  <si>
    <t xml:space="preserve">   at a sufficient level, a more aggressive and higher return investment strategy can occur.</t>
  </si>
  <si>
    <t>* Added $85 - $100 M of Settlement deposits each year into the CBR.  Available as a user-changeable input.</t>
  </si>
  <si>
    <t>* Added Rep. Seaton's HB 365 Plan.</t>
  </si>
  <si>
    <t>Maximum Dividend Allowed:</t>
  </si>
  <si>
    <t>Dividend amount with HB 365</t>
  </si>
  <si>
    <t>HB 365 Model</t>
  </si>
  <si>
    <t>Earning Reserve, HB 365 Model</t>
  </si>
  <si>
    <t>Monthly CBR &amp; ER Estimates for Generic Model</t>
  </si>
  <si>
    <t>Total Available Dividend Funding</t>
  </si>
  <si>
    <t>Funding $ after PFD Expenses, $ million</t>
  </si>
  <si>
    <t>POMV Draw from Earnings Reserve</t>
  </si>
  <si>
    <t>Reduction in POMV Draw due to Excess Petroleum Revenue</t>
  </si>
  <si>
    <t>Extra Royalty Revenue by Reducing PF deposits to 25%</t>
  </si>
  <si>
    <t>Limit on Earnings Reserve, multiple of POMV Draw:</t>
  </si>
  <si>
    <t>Transfer to Principal due to Size Limit of Earnings Reserve</t>
  </si>
  <si>
    <t>* Changed SB 114 to match 3/16/2016 Committee Substitute version.</t>
  </si>
  <si>
    <t>* For Default Case in Goldsmith Plan, used his 3-year Moving Average value, which also equals the</t>
  </si>
  <si>
    <t xml:space="preserve">   value promoted by Brad Keithley.</t>
  </si>
  <si>
    <t>* Added input for FY16 Statutory Return, separate from FY17+.</t>
  </si>
  <si>
    <t>* Updated Default PF return assumptions to match Feb 29, 2016 PFC Projection Sheet.</t>
  </si>
  <si>
    <t>Royalty Contribution to Dividend (from UGF)</t>
  </si>
  <si>
    <t>ER Statutory Net Income Contribution to Dividend (from ER)</t>
  </si>
  <si>
    <t>Dividend Funding based on Statutory Net Income</t>
  </si>
  <si>
    <t>Total Fund, including ER</t>
  </si>
  <si>
    <t>Here are the Official DOR Oil Production Forecast, which can be copied to the row above.</t>
  </si>
  <si>
    <t>Version 2016-03-23</t>
  </si>
  <si>
    <t xml:space="preserve">* Default Oil Price Forecast is now the Spring 2016 </t>
  </si>
  <si>
    <t>POMV Draw for General Fund</t>
  </si>
  <si>
    <t>* Changed FY17-FY26 Total Return input to 6.90%, correcting for error in Feb 29, 2016 PFC forecast</t>
  </si>
  <si>
    <t xml:space="preserve">    sheet.</t>
  </si>
  <si>
    <t>* Reduced baseline FY16 spending by $110 M to account for supplemental items not likely to be funded.</t>
  </si>
  <si>
    <t>* For PF Protection plan, recognized that Refunded Oil Tax Credits will be $200 M higher than previously</t>
  </si>
  <si>
    <t xml:space="preserve">   projected for FY17 due to low oil prices.  This affects the Governor's spending budget used in that plan.</t>
  </si>
  <si>
    <t>oil price.  The gross values were based on the Spring 2016 oil forecast; the production values in that</t>
  </si>
  <si>
    <t>* Updated Revenue to be consistent with Final Spring Revenue Forecast.</t>
  </si>
  <si>
    <t>* For PF Protection plan, put additional Production Tax revenue from increased floor into Earnings</t>
  </si>
  <si>
    <t xml:space="preserve">   Reserve.</t>
  </si>
  <si>
    <t>Source spreadsheet from DOR was "2016-Spring Oil Revenue Matrix.xlsx" from  David Herbert on April 7, 2016.</t>
  </si>
  <si>
    <t>Oil Property Tax, Bonus, Rents &amp; Interest, $ mil.</t>
  </si>
  <si>
    <t>Minimum Production / Hazard Revenue</t>
  </si>
  <si>
    <t>* Updated HB 365 to the 4/7/2016 version, which  ceases Inflation Proofing and takes a 2.3% POMV draw.</t>
  </si>
  <si>
    <t>Version 2016-04-08</t>
  </si>
  <si>
    <t>5-Year Average Balance for POMV (first 5 of last 6 years)</t>
  </si>
  <si>
    <t>Dividend Funding based on POMV Draw</t>
  </si>
  <si>
    <t>Dividend Funding based on UGF Royalties</t>
  </si>
  <si>
    <t>% of UGF Royalties used for Dividend Funding</t>
  </si>
  <si>
    <t>% of Statutory Net Income used for Dividend (not in bill)</t>
  </si>
  <si>
    <t>Long-Term Minimum Dividend (not in bill)</t>
  </si>
  <si>
    <t>% of POMV Draw used for Dividend Funding</t>
  </si>
  <si>
    <t>POMV Contribution to Dividend (from UGF)</t>
  </si>
  <si>
    <t>funding from the Earnings Reserve</t>
  </si>
  <si>
    <t>totally funded from UGF</t>
  </si>
  <si>
    <t>Effective Draw Percentage:</t>
  </si>
  <si>
    <t>funded from Earnings Reserve</t>
  </si>
  <si>
    <t>funded from UGF</t>
  </si>
  <si>
    <t>* Included 1/2 of current year draws in the CBR interest calculation.</t>
  </si>
  <si>
    <t>* Updated Oil &amp; Gas Tax and Credit numbers in Governor's Plan.</t>
  </si>
  <si>
    <t>* Converted SB 114 Model to an SB 128 CS model, based on 4/12/2016 version of that bill.</t>
  </si>
  <si>
    <t>Label:</t>
  </si>
  <si>
    <t>Inflation Proofing Transfer, if Delayed a Year</t>
  </si>
  <si>
    <t>* Updated FY17+ Statutory Return to 5.40%, based on Feb 2016 PFC forecast.</t>
  </si>
  <si>
    <t>Version 2016-05-04</t>
  </si>
  <si>
    <t>Frozen FY 18 Dividend</t>
  </si>
  <si>
    <t>Frozen FY 19 Dividend</t>
  </si>
  <si>
    <t>FY 2022</t>
  </si>
  <si>
    <t>Year Dividend is paid---&gt;</t>
  </si>
  <si>
    <t>Amount of PFD Funding Vetoed in Status Quo case</t>
  </si>
  <si>
    <t>Carry-Forward Obligation from end of FY 2016:</t>
  </si>
  <si>
    <t>Permanent Fund Total Return Rate, FY17</t>
  </si>
  <si>
    <t>Permanent Fund Total Return Rate, FY18 &amp; beyond</t>
  </si>
  <si>
    <t>Permanent Fund Statutory Return Rate, FY17</t>
  </si>
  <si>
    <t>Permanent Fund Statutory Return Rate, FY18 &amp; beyond</t>
  </si>
  <si>
    <t>Inflation Rate, FY17</t>
  </si>
  <si>
    <t>Inflation Rate, FY18 &amp; beyond</t>
  </si>
  <si>
    <t>CBR Earnings Rate, FY17</t>
  </si>
  <si>
    <t>CBR Earnings Rate, FY18 &amp; beyond</t>
  </si>
  <si>
    <t>To Do List</t>
  </si>
  <si>
    <t>Amount Actually Paid in the Year</t>
  </si>
  <si>
    <t>In Status Quo, Does End of Year Inflation Proofing of PF Occur?</t>
  </si>
  <si>
    <t>Adjusted End of FY16 Balance:</t>
  </si>
  <si>
    <t>FY 22</t>
  </si>
  <si>
    <t>Oil Tax Credit Spending, $ mil.</t>
  </si>
  <si>
    <t>For Status Quo case, $ million</t>
  </si>
  <si>
    <t>Unpaid Balance at end of Fiscal Year</t>
  </si>
  <si>
    <t>Version 2016-08-08</t>
  </si>
  <si>
    <t>* Updated SB 128/HB 245 Model to start in FY 17 as base year.</t>
  </si>
  <si>
    <t>* Separately modeled Oil Tax Credits</t>
  </si>
  <si>
    <t>* Allowed for Dividend Vetoes and Elimination of Inflation Proofing in Status Quo Model.</t>
  </si>
  <si>
    <t>7.25% is stated PFC Goal</t>
  </si>
  <si>
    <t>Plan-Specific Inputs</t>
  </si>
  <si>
    <t>Volatile Petroleum Revenue  that triggers POMV Reduction:</t>
  </si>
  <si>
    <t>Dividend Inputs</t>
  </si>
  <si>
    <t>Enter an Override CBR Rate of Return for this Plan:</t>
  </si>
  <si>
    <t>Saved Status Quo PF values:</t>
  </si>
  <si>
    <t>Saved Status Quo Values</t>
  </si>
  <si>
    <t>CBR + Misc Balance</t>
  </si>
  <si>
    <t xml:space="preserve">Label for 2nd  Status Quo Series: </t>
  </si>
  <si>
    <t>Status Quo w/ Continued Vetoes</t>
  </si>
  <si>
    <t>Vetoes necessary for $1,000 PFD:</t>
  </si>
  <si>
    <t>OTC Payment stream to eliminate carry-forward</t>
  </si>
  <si>
    <t>Constitutional Budget Reserve End of FY16 Balance:</t>
  </si>
  <si>
    <t>Copy to "Amount of PFD Funding Vetoed…" line above.</t>
  </si>
  <si>
    <t>Copy to "Amount Actually Paid…" line above.</t>
  </si>
  <si>
    <t>Dividend amount with Generic Solution</t>
  </si>
  <si>
    <t>Solution not Involving Structural Changes to Permanent Fund</t>
  </si>
  <si>
    <t>Statutory Budget Reserve</t>
  </si>
  <si>
    <t>PCE Endowment</t>
  </si>
  <si>
    <t>Version 2016-10-10</t>
  </si>
  <si>
    <t>*  Moved a year forward the SB128, HB365 and Generic Models.</t>
  </si>
  <si>
    <t>*  Updated Fund balances to be consistent with Leg. Finanace (except used PFC forecast sheet for PF balances.</t>
  </si>
  <si>
    <t>--- NOTE:  Oil Tax Credit Spending is accounted for in Next Section ---</t>
  </si>
  <si>
    <t>$ millions</t>
  </si>
  <si>
    <t>Capital</t>
  </si>
  <si>
    <t>Supplemental</t>
  </si>
  <si>
    <r>
      <t xml:space="preserve">Operating,  </t>
    </r>
    <r>
      <rPr>
        <i/>
        <sz val="11"/>
        <color theme="1"/>
        <rFont val="Calibri"/>
        <family val="2"/>
        <scheme val="minor"/>
      </rPr>
      <t>excluding</t>
    </r>
    <r>
      <rPr>
        <sz val="11"/>
        <color theme="1"/>
        <rFont val="Calibri"/>
        <family val="2"/>
        <scheme val="minor"/>
      </rPr>
      <t xml:space="preserve"> Oil/Gas Tax Credits</t>
    </r>
  </si>
  <si>
    <t>Change Baseline Spending on the "Common Inputs" sheet.</t>
  </si>
  <si>
    <t>UGF Operating Spending, execpt Oil Tax Credits, $ mil.</t>
  </si>
  <si>
    <t>UGF Capital Spending</t>
  </si>
  <si>
    <t>Supplemental Spending, $ mil.</t>
  </si>
  <si>
    <t>Distributable Earnings Reserve Income directed to UGF</t>
  </si>
  <si>
    <t>(not currently a feature of the bill)</t>
  </si>
  <si>
    <t>Statutory minimum appropriation</t>
  </si>
  <si>
    <t>Fall 2016 DOR Forecast, Final</t>
  </si>
  <si>
    <t xml:space="preserve">  This is a sample oil price forecast, copy above to use</t>
  </si>
  <si>
    <t>Tax &amp; Royalty Settlements to CBR, $ millions</t>
  </si>
  <si>
    <t>Non-Petroleum + UGF Invest. Revenues, $ mil.</t>
  </si>
  <si>
    <t>Total Alaska Oil Production, thousand barrels/day</t>
  </si>
  <si>
    <t xml:space="preserve">  Includes Cook Inlet.</t>
  </si>
  <si>
    <t>Fall 2016 DOR Oil Production Forecast</t>
  </si>
  <si>
    <t>UGF Royalties</t>
  </si>
  <si>
    <t>NPRA Roaylties</t>
  </si>
  <si>
    <t>PF Royalties</t>
  </si>
  <si>
    <t>School Fund Royalties</t>
  </si>
  <si>
    <t>Petroleum Royalty Totals</t>
  </si>
  <si>
    <t>Total Royalties</t>
  </si>
  <si>
    <t>Percent of Royalty to UGF</t>
  </si>
  <si>
    <t>Fall 2016 Revenue Sources Book, page 106</t>
  </si>
  <si>
    <t>Petroleum Royalties</t>
  </si>
  <si>
    <t>~30% of Total Petroleum Royalties</t>
  </si>
  <si>
    <t>~30% of Total Petroleum Royalties Royalties</t>
  </si>
  <si>
    <t>True-up to Official Forecast, $ million</t>
  </si>
  <si>
    <t>Total Spending, $ mil.</t>
  </si>
  <si>
    <t>50/50 Plan Charts</t>
  </si>
  <si>
    <t>Funding available for Dividend</t>
  </si>
  <si>
    <t>Funding $ after Deductions, $ million</t>
  </si>
  <si>
    <t>Redirected PFD funds due to exceeding Spending Threshold</t>
  </si>
  <si>
    <t>% of Distributable PF Income to use for PF Dividend:</t>
  </si>
  <si>
    <t>Spending Threshold that Triggers PFD Reduction:</t>
  </si>
  <si>
    <t>per year</t>
  </si>
  <si>
    <t>Version 2017-01-09</t>
  </si>
  <si>
    <t>Deduction for Excess UGF Spending (these savings are sent to UGF)</t>
  </si>
  <si>
    <t>Residual Funding sent to UGF due to PFD Cap, $ M</t>
  </si>
  <si>
    <t>Total Use of PF Distributable Income:</t>
  </si>
  <si>
    <t>* Incorporated revenue information from Fall 2016 Revenue Sources Book.</t>
  </si>
  <si>
    <t>* Incorporated November 30, 2016 Permanent Fund Forecast</t>
  </si>
  <si>
    <t>* Added 50/50 Model.</t>
  </si>
  <si>
    <t>5-year Average Statutory Income</t>
  </si>
  <si>
    <t>Multiplier used to Calculate 5-year Average Distr. Income</t>
  </si>
  <si>
    <t>UGF Revenue Comparison</t>
  </si>
  <si>
    <t>Spring 2016 Forecast</t>
  </si>
  <si>
    <t>Fall 2016 Forecast</t>
  </si>
  <si>
    <t>$ million</t>
  </si>
  <si>
    <t>Difference</t>
  </si>
  <si>
    <t>million (excludes Tax Credit spending, excess PFD funding goes to UGF)</t>
  </si>
  <si>
    <t>Version 2017-01-11</t>
  </si>
  <si>
    <t>* Made 50/50 Spending Cap exclude Oil Tax Credit Spending.</t>
  </si>
  <si>
    <t>* Trued up 2nd Status Quo to current Base Case Assumptions.</t>
  </si>
  <si>
    <t>This 2nd Status Quo Line is only valid for the Base Case</t>
  </si>
  <si>
    <t>Inputs.</t>
  </si>
  <si>
    <t>10% Op. Expense Cut Year 1, then 5% each additional year.</t>
  </si>
  <si>
    <t>per Alaskan</t>
  </si>
  <si>
    <t>Desired Growth Rate of Permanent Fund</t>
  </si>
  <si>
    <t>Desired Permanent Fund Dividend</t>
  </si>
  <si>
    <t>Default Values below are consistent with FY 18 Balances and Income</t>
  </si>
  <si>
    <t>Assumptions &amp; Calculations</t>
  </si>
  <si>
    <t>Starting Permanent Fund Balance:</t>
  </si>
  <si>
    <t>Total Royalty Deposits to Fund:</t>
  </si>
  <si>
    <t xml:space="preserve">    Royalty funds beyond required 25%:</t>
  </si>
  <si>
    <t>Distribution to General Fund / Other</t>
  </si>
  <si>
    <t>Number of PFD Recipients:</t>
  </si>
  <si>
    <t>Alaskans</t>
  </si>
  <si>
    <t>PFD Expenses:</t>
  </si>
  <si>
    <t xml:space="preserve">   Total Royalty Deposits:</t>
  </si>
  <si>
    <t xml:space="preserve">   Total Accounting Income:</t>
  </si>
  <si>
    <t xml:space="preserve">   Distribution to General Fund / Other</t>
  </si>
  <si>
    <t xml:space="preserve">   Reinvestment required to achieve Desired PF Growth:</t>
  </si>
  <si>
    <t xml:space="preserve">   Funds required for PFD:</t>
  </si>
  <si>
    <t xml:space="preserve">   Remaining Income to Plug UGF Deficit:</t>
  </si>
  <si>
    <t>Permanent Fund Inputs</t>
  </si>
  <si>
    <t>PFD Inputs</t>
  </si>
  <si>
    <t>UGF Deficit Inputs</t>
  </si>
  <si>
    <t>Size of UGF Deficit:</t>
  </si>
  <si>
    <t>Spending Cuts &amp; New Revenue</t>
  </si>
  <si>
    <t>2.89% is from Fall 2016 Revenue Sources Book</t>
  </si>
  <si>
    <t>Permanent Fund Earnings</t>
  </si>
  <si>
    <t>Oil Settlements &amp; CBR Interest</t>
  </si>
  <si>
    <t>How Many $ of Permanent Fund Earnings can be Used to Plug UGF Deficit?</t>
  </si>
  <si>
    <t>Settlements are projected to be $100 M.  Interest is appx. $166 M.</t>
  </si>
  <si>
    <t>Earnings Reserve Health Check</t>
  </si>
  <si>
    <t xml:space="preserve">   Statutory Return Rate:</t>
  </si>
  <si>
    <t xml:space="preserve">   PFC and Other Expenses:</t>
  </si>
  <si>
    <t xml:space="preserve">   Statutory Income:</t>
  </si>
  <si>
    <t xml:space="preserve">   Royalties beyond 25%:</t>
  </si>
  <si>
    <t>assumes that royalties beyond 25% Constitutional Minimum are accessed</t>
  </si>
  <si>
    <t xml:space="preserve">   PFD Funding:</t>
  </si>
  <si>
    <t xml:space="preserve">   UGF Funding:</t>
  </si>
  <si>
    <t xml:space="preserve">   Net Flow into ERA:</t>
  </si>
  <si>
    <t>6.24% is the PF Corporation Forecast.  3.98% is the Legislative Finance assumption.</t>
  </si>
  <si>
    <r>
      <t xml:space="preserve">Actual Growth Rate during last 10 years:  </t>
    </r>
    <r>
      <rPr>
        <b/>
        <sz val="12"/>
        <color theme="1"/>
        <rFont val="Calibri"/>
        <family val="2"/>
        <scheme val="minor"/>
      </rPr>
      <t>4.8%</t>
    </r>
    <r>
      <rPr>
        <sz val="12"/>
        <color theme="1"/>
        <rFont val="Calibri"/>
        <family val="2"/>
        <scheme val="minor"/>
      </rPr>
      <t xml:space="preserve"> per year</t>
    </r>
  </si>
  <si>
    <r>
      <t xml:space="preserve">Actual Growth Rate during last 20 years:  </t>
    </r>
    <r>
      <rPr>
        <b/>
        <sz val="12"/>
        <color theme="1"/>
        <rFont val="Calibri"/>
        <family val="2"/>
        <scheme val="minor"/>
      </rPr>
      <t>7.1%</t>
    </r>
    <r>
      <rPr>
        <sz val="12"/>
        <color theme="1"/>
        <rFont val="Calibri"/>
        <family val="2"/>
        <scheme val="minor"/>
      </rPr>
      <t xml:space="preserve"> per year</t>
    </r>
  </si>
  <si>
    <t>Input Help:</t>
  </si>
  <si>
    <r>
      <t xml:space="preserve">Future Inflation Forecast: </t>
    </r>
    <r>
      <rPr>
        <b/>
        <sz val="12"/>
        <color theme="1"/>
        <rFont val="Calibri"/>
        <family val="2"/>
        <scheme val="minor"/>
      </rPr>
      <t>2.25%</t>
    </r>
    <r>
      <rPr>
        <sz val="12"/>
        <color theme="1"/>
        <rFont val="Calibri"/>
        <family val="2"/>
        <scheme val="minor"/>
      </rPr>
      <t xml:space="preserve"> per year</t>
    </r>
  </si>
  <si>
    <t>Income Balance for Total Fund, $ billion</t>
  </si>
  <si>
    <t>Bar Graph Values, $ billion</t>
  </si>
  <si>
    <t>Total Permanent Fund Return Rate:</t>
  </si>
  <si>
    <t>million (deducts from investment return)</t>
  </si>
  <si>
    <t>PF Corporation Expenses:</t>
  </si>
  <si>
    <t>million, this is about the average deficit for next five years</t>
  </si>
  <si>
    <t>Permanent Fund growth rate in last 3 years</t>
  </si>
  <si>
    <t>Earnings Reserve growth rate in last 3 years</t>
  </si>
  <si>
    <t>Percent of Market Value vs. % of Distributable Income</t>
  </si>
  <si>
    <t>Royalty Deposits</t>
  </si>
  <si>
    <t>Amerada Hess Withdrawal</t>
  </si>
  <si>
    <t>First 5 of Last 6 Yr Avg PF Bal.</t>
  </si>
  <si>
    <t>Total Accounting Net Income</t>
  </si>
  <si>
    <t>Statutory Return Rate</t>
  </si>
  <si>
    <t>Year</t>
  </si>
  <si>
    <t>Total Accounting Return Rate</t>
  </si>
  <si>
    <t>Total PF Balance, EOY</t>
  </si>
  <si>
    <t>Earnings Reserve Balance, EOY</t>
  </si>
  <si>
    <t>Permanent Fund Model</t>
  </si>
  <si>
    <t>Draw Type Choices</t>
  </si>
  <si>
    <t>Permanent Fund Rates of Return</t>
  </si>
  <si>
    <t>Historical Values</t>
  </si>
  <si>
    <t>Projected Values</t>
  </si>
  <si>
    <t>The values in this Table are used Above</t>
  </si>
  <si>
    <t>of Distributable Income</t>
  </si>
  <si>
    <t>of Average PF Balance for first 5 of Last 6 years</t>
  </si>
  <si>
    <t>10 year growth rate</t>
  </si>
  <si>
    <t>Last 5 years growth rate</t>
  </si>
  <si>
    <t>POMV Draw  Rate:</t>
  </si>
  <si>
    <t>of 5 year Average PF Balance (first 5 of last 6 years)</t>
  </si>
  <si>
    <t>(Set to high value to disable)</t>
  </si>
  <si>
    <t>Funding required for Frozen FY 18 - 19 Dividend</t>
  </si>
  <si>
    <t>Dividend Funding for Frozen FY 18-19 Dividend</t>
  </si>
  <si>
    <t>times full POMV draw, excess is deposited in PF corpus.</t>
  </si>
  <si>
    <t>POMV/Dist Inc Draw being Analyzed</t>
  </si>
  <si>
    <t>FY18 PF Income Assumptions (this sheet is standalone and does not use values on other sheets)</t>
  </si>
  <si>
    <t>Text for Chart:</t>
  </si>
  <si>
    <t>Non-HB61 CS Solutions</t>
  </si>
  <si>
    <t>CBR w/ Non-HB61 Solutions, Start of Year</t>
  </si>
  <si>
    <t>Withdrawl from CBR, Non-HB61 Solutions</t>
  </si>
  <si>
    <t>CBR Balance, Non-HB61 Solutions</t>
  </si>
  <si>
    <t>Dividend amount with HB 61</t>
  </si>
  <si>
    <t>With HB 61</t>
  </si>
  <si>
    <t>Solutions other than HB 61, $ million:</t>
  </si>
  <si>
    <t>Part of the POMV that is Used for Dividends</t>
  </si>
  <si>
    <t>x Earnings Reserve payout, extra is deposited in PF corpus for inflat.-proofing</t>
  </si>
  <si>
    <t>Withdrawl for Dividends from Distrib. Income</t>
  </si>
  <si>
    <t>Portion of POMV used for Dividends</t>
  </si>
  <si>
    <t>Funding available for Dividend from Distributable Income</t>
  </si>
  <si>
    <t>POMV Funding for Dividends</t>
  </si>
  <si>
    <t>Total Dividend Funding</t>
  </si>
  <si>
    <t>Leave Blank if no Limit on PFD amount</t>
  </si>
  <si>
    <t>Maximum Dividend Allowed ($/Alaskan)</t>
  </si>
  <si>
    <t>POMV % to Fund UGF and Dividends</t>
  </si>
  <si>
    <t>Permanent Fund with HB 61</t>
  </si>
  <si>
    <t>Petroleum Royalties (25% of Total if HB 61 active, ~30% otherwise)</t>
  </si>
  <si>
    <t>HB 61 POMV Draw, with Excess Oil Revenue Offset</t>
  </si>
  <si>
    <t>Leave Blank to use default value</t>
  </si>
  <si>
    <t>GF Transfers (e.g. Amerada Hess)</t>
  </si>
  <si>
    <t>APFC Expenses + Other to tie to PFC Forecast Sheet</t>
  </si>
  <si>
    <t>Adjustment to Convert back to CBR+ SBR:</t>
  </si>
  <si>
    <t xml:space="preserve">  | From the Leg. Finance FY17 Fiscal Summary, 1/19/2017</t>
  </si>
  <si>
    <t xml:space="preserve">  |  </t>
  </si>
  <si>
    <t xml:space="preserve">  |   </t>
  </si>
  <si>
    <t>Revenue Sharing Fund</t>
  </si>
  <si>
    <t>CBR + SBR Alone:</t>
  </si>
  <si>
    <t>% of Distributable PF Income to use for UGF</t>
  </si>
  <si>
    <t>per Alaskan (excess goes to UGF).  Blank for no limit.</t>
  </si>
  <si>
    <t>POMV Payout %, used for UGF</t>
  </si>
  <si>
    <t>POMV Payout to the UGF</t>
  </si>
  <si>
    <t>Additional FY18 Dividend Funding to pay back Veto</t>
  </si>
  <si>
    <t>Payback of Dividend Veto</t>
  </si>
  <si>
    <t>CBR+Misc Interest Income &amp; Oil Settlements</t>
  </si>
  <si>
    <t>Money Flowing Into Permanent Fund</t>
  </si>
  <si>
    <t>Realized Earnings</t>
  </si>
  <si>
    <t>$ billions</t>
  </si>
  <si>
    <t>Unrealized Earnings</t>
  </si>
  <si>
    <t>Oil Royalties</t>
  </si>
  <si>
    <t>TOTAL:</t>
  </si>
  <si>
    <t>Money Flowing Out of Permanent Fund</t>
  </si>
  <si>
    <t>Dividend Funding</t>
  </si>
  <si>
    <t>UGF Payout</t>
  </si>
  <si>
    <t>Difference is Reinvested:</t>
  </si>
  <si>
    <t>Amerada Hess (not shown)</t>
  </si>
  <si>
    <t>growth</t>
  </si>
  <si>
    <t>1st year growth Rate</t>
  </si>
  <si>
    <t>End of Year PF Balance</t>
  </si>
  <si>
    <t>Calculation of Permanent Fund Payouts</t>
  </si>
  <si>
    <t>Average of the first 5 years of the Last 6 years</t>
  </si>
  <si>
    <t>millions of $</t>
  </si>
  <si>
    <t>POMV Payout Rate:</t>
  </si>
  <si>
    <t>(est.)</t>
  </si>
  <si>
    <t xml:space="preserve">Payout of "Income Available for Distribution": </t>
  </si>
  <si>
    <r>
      <t xml:space="preserve">Payout for FY18  =  48,394  x  5.25%  =  </t>
    </r>
    <r>
      <rPr>
        <b/>
        <sz val="12"/>
        <color theme="1"/>
        <rFont val="Calibri"/>
        <family val="2"/>
        <scheme val="minor"/>
      </rPr>
      <t>$2,541 million</t>
    </r>
  </si>
  <si>
    <t>Sum of the Last 5 Years</t>
  </si>
  <si>
    <r>
      <t xml:space="preserve">Payout for FY18  =  14,297  x  21%  x 100%  =  </t>
    </r>
    <r>
      <rPr>
        <b/>
        <sz val="11"/>
        <color theme="1"/>
        <rFont val="Calibri"/>
        <family val="2"/>
        <scheme val="minor"/>
      </rPr>
      <t>$3,002 million</t>
    </r>
  </si>
  <si>
    <r>
      <rPr>
        <b/>
        <i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This is an Inflated average of the Last 5 years of Income.  A true average</t>
    </r>
  </si>
  <si>
    <t xml:space="preserve">            would multiply by 20% instead of 21%.</t>
  </si>
  <si>
    <t>(equals the payout in a 50/50 type Plan)</t>
  </si>
  <si>
    <t>Realized (Statutory) Income</t>
  </si>
  <si>
    <t>Also, when comparing this rate to Endowment Rates, our Permanent Fund receives</t>
  </si>
  <si>
    <r>
      <t xml:space="preserve">Investment Income </t>
    </r>
    <r>
      <rPr>
        <i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Oil Royalties (about 0.5% of Fund Value per year).</t>
    </r>
  </si>
  <si>
    <t>Bill</t>
  </si>
  <si>
    <t>Dividend</t>
  </si>
  <si>
    <t>PF Growth</t>
  </si>
  <si>
    <t>HB 61</t>
  </si>
  <si>
    <t>SB 21</t>
  </si>
  <si>
    <t>Dunleavy</t>
  </si>
  <si>
    <t>Appx. FY18 Inputs by Bill</t>
  </si>
  <si>
    <t>Billion of Earnings Available for Deficit</t>
  </si>
  <si>
    <t xml:space="preserve">Compares Permanent Fund Earnings Payouts based on </t>
  </si>
  <si>
    <t>POMV Payout</t>
  </si>
  <si>
    <t>Distributable Income Payout</t>
  </si>
  <si>
    <t>These Payout Rates are Used in the Analysis</t>
  </si>
  <si>
    <t>Distributable Income Payout Rate:</t>
  </si>
  <si>
    <r>
      <rPr>
        <b/>
        <i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the FY18 payout is only </t>
    </r>
    <r>
      <rPr>
        <b/>
        <sz val="11"/>
        <color theme="1"/>
        <rFont val="Calibri"/>
        <family val="2"/>
        <scheme val="minor"/>
      </rPr>
      <t>4.62%</t>
    </r>
    <r>
      <rPr>
        <sz val="11"/>
        <color theme="1"/>
        <rFont val="Calibri"/>
        <family val="2"/>
        <scheme val="minor"/>
      </rPr>
      <t xml:space="preserve"> of the FY17 ending balance (growing to 4.9% in future years).</t>
    </r>
  </si>
  <si>
    <t>6.92% is 20 year historical average (geometric)</t>
  </si>
  <si>
    <t>6.29% is the 20 year history value (geometric mean)</t>
  </si>
  <si>
    <t>FY18</t>
  </si>
  <si>
    <t>FY19</t>
  </si>
  <si>
    <t>FY20</t>
  </si>
  <si>
    <t>FY21</t>
  </si>
  <si>
    <t>FY22</t>
  </si>
  <si>
    <t>HB 115</t>
  </si>
  <si>
    <t>New Tax Credit Obligations</t>
  </si>
  <si>
    <t>Number of PFD Recipients in October 2016 in PFD Calculation</t>
  </si>
  <si>
    <t>Dividend amount with Dunleavy</t>
  </si>
  <si>
    <t>Monthly CBR &amp; ER Estimates for HB 61 and other Chart Helpers</t>
  </si>
  <si>
    <t>Distributable Income, AS 37.13.140</t>
  </si>
  <si>
    <t>Earnings Reserve Calculations</t>
  </si>
  <si>
    <t>Total Permanent Fund Calculations</t>
  </si>
  <si>
    <t>Unrealized Gain/Loss Calculations</t>
  </si>
  <si>
    <t>Change in Total UGL</t>
  </si>
  <si>
    <t>Total Unrealized Gain/Loss, EOY</t>
  </si>
  <si>
    <t>Principal Balance w/o UGL, EOY</t>
  </si>
  <si>
    <t>Earnings Reserve Balance w/o UGL, EOY</t>
  </si>
  <si>
    <t>UGL Assigned to Earnings Reserve, EOY</t>
  </si>
  <si>
    <t>Change in Unrealized Gain/Loss assigned to ER</t>
  </si>
  <si>
    <t>Permanent Fund, HB 115</t>
  </si>
  <si>
    <r>
      <t xml:space="preserve">(relative to PFC sheet, removes Dividend withdrawal becausee it occurs in FY18 now.  Also, </t>
    </r>
    <r>
      <rPr>
        <i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special ER-CBR gov. requested transfer assumed)</t>
    </r>
  </si>
  <si>
    <t>Monthly CBR &amp; ER Estimates for HB 115</t>
  </si>
  <si>
    <t>HB 115 Model</t>
  </si>
  <si>
    <t>Earning Reserve, HB 115 Model</t>
  </si>
  <si>
    <r>
      <t xml:space="preserve">    </t>
    </r>
    <r>
      <rPr>
        <b/>
        <sz val="11"/>
        <color theme="1"/>
        <rFont val="Calibri"/>
        <family val="2"/>
        <scheme val="minor"/>
      </rPr>
      <t xml:space="preserve">* Tradeoff between Dividend, UGF Payout, and Permanent Fund Growth: </t>
    </r>
    <r>
      <rPr>
        <sz val="11"/>
        <color theme="1"/>
        <rFont val="Calibri"/>
        <family val="2"/>
        <scheme val="minor"/>
      </rPr>
      <t>This model is found on the sheet</t>
    </r>
  </si>
  <si>
    <t xml:space="preserve">        Permanent Fund restructuring plan between the size of the Dividend paid, the Growth Rate of the Permanent</t>
  </si>
  <si>
    <r>
      <t xml:space="preserve">    </t>
    </r>
    <r>
      <rPr>
        <b/>
        <sz val="11"/>
        <color theme="1"/>
        <rFont val="Calibri"/>
        <family val="2"/>
        <scheme val="minor"/>
      </rPr>
      <t xml:space="preserve">* Comparison of POMV Payouts vs. Payouts based on Realized (Distributable) Income:  </t>
    </r>
    <r>
      <rPr>
        <sz val="11"/>
        <color theme="1"/>
        <rFont val="Calibri"/>
        <family val="2"/>
        <scheme val="minor"/>
      </rPr>
      <t>This model is on</t>
    </r>
  </si>
  <si>
    <t xml:space="preserve">        Percent of "Distributable Income" (5 year average of Realized Earnings).  The model also allows you</t>
  </si>
  <si>
    <t xml:space="preserve">        the volatility of Payouts structured in two different ways: Percent of Market Value (POMV) and</t>
  </si>
  <si>
    <t xml:space="preserve">        under these two different payout structures.</t>
  </si>
  <si>
    <t>Conventional Dividend Funding</t>
  </si>
  <si>
    <t>of Total POMV (bill is 33%)</t>
  </si>
  <si>
    <t>Change in Unrealized Gains assigned to ER</t>
  </si>
  <si>
    <t xml:space="preserve">        to replay any 10-year series of historical Permanent Fund returns to see how periods of poor returns might</t>
  </si>
  <si>
    <t xml:space="preserve">        affect payout Volatility, the health of the Earnings Reserve and the overall growth of the Permanent Fund </t>
  </si>
  <si>
    <t>Version 2017-02-17</t>
  </si>
  <si>
    <t>Alaska's Future Fiscal Models</t>
  </si>
  <si>
    <t>Transfer to Principal due to Size Limit of Earnings Reserve (Inflation-proofing light)</t>
  </si>
  <si>
    <t>SB 21 (Sen. Stedman), 1/18/2017</t>
  </si>
  <si>
    <t>Monthly CBR &amp; ER Estimates for SB 21</t>
  </si>
  <si>
    <t>Earning Reserve, SB 21 Model</t>
  </si>
  <si>
    <t>POMV % to Fund Dividends</t>
  </si>
  <si>
    <t>(from 2.25% - 4.50%)</t>
  </si>
  <si>
    <t>POMV % to Fund UGF Services</t>
  </si>
  <si>
    <t>(from 0 - 2.25%,</t>
  </si>
  <si>
    <t xml:space="preserve"> total POMV must be less than 4.5%)</t>
  </si>
  <si>
    <t>Permanent Fund, SB 21</t>
  </si>
  <si>
    <t>Conventional Divided Payment</t>
  </si>
  <si>
    <t>POMV Draw for Dividends</t>
  </si>
  <si>
    <t>(bill currently has no limit on Earnings Reserve, use large number to disable)</t>
  </si>
  <si>
    <t>POMV Draw to Fund UGF Services</t>
  </si>
  <si>
    <t>CBR + Misc, SB 21 Model</t>
  </si>
  <si>
    <t>Dividend amount with SB 21</t>
  </si>
  <si>
    <t>Also included are two Simple Models meant to illustrate some general Fiscal Plan Concepts.  These models</t>
  </si>
  <si>
    <r>
      <t xml:space="preserve">Here and throughout the model, cells with </t>
    </r>
    <r>
      <rPr>
        <b/>
        <sz val="11"/>
        <color rgb="FF0070C0"/>
        <rFont val="Calibri"/>
        <family val="2"/>
        <scheme val="minor"/>
      </rPr>
      <t>Blue numbers</t>
    </r>
    <r>
      <rPr>
        <sz val="11"/>
        <rFont val="Calibri"/>
        <family val="2"/>
        <scheme val="minor"/>
      </rPr>
      <t xml:space="preserve"> are input cells; black numbers are formulae and</t>
    </r>
  </si>
  <si>
    <t>* Aligned payouts and dividends based on Distributable Income with the year the payout is used.</t>
  </si>
  <si>
    <t>* Incorporated accurate treatment of Unrealized Gains and Losses.</t>
  </si>
  <si>
    <t>* Made Inflation-proofing light work as intended.</t>
  </si>
  <si>
    <t>* Added SB 21 Model.</t>
  </si>
  <si>
    <t>* Added two simple models on Green Tabs for exploring Fiscal Plan concepts.</t>
  </si>
  <si>
    <t xml:space="preserve">        Fund, and the Size of the Payout to the General Fund that helps plug the deficit.</t>
  </si>
  <si>
    <t xml:space="preserve">    * The models lump together all reserves in the CBR, the SBR, and the various other miscellaneous funds, such</t>
  </si>
  <si>
    <t xml:space="preserve">        as the PCE Fund and the Higher Education Investment Fund.  The Permanent Fund including the Earnings</t>
  </si>
  <si>
    <t xml:space="preserve">        Reserve account are addressed separately.</t>
  </si>
  <si>
    <t xml:space="preserve">    * As a default, the model assumes that all outstanding Oil and Gas Tax Credits are paid off in FY18 and new tax</t>
  </si>
  <si>
    <t>Oil/Gas Tax Credit Inputs</t>
  </si>
  <si>
    <t xml:space="preserve">    * Our default Permanent Fund rate of return assumptions match those forecasted by the Permanent Fund</t>
  </si>
  <si>
    <t>are located on sheets with green-colored tabs found just to the left of this sheet:</t>
  </si>
  <si>
    <t>Average Oil Price, Alaska North Slope, $/barrel</t>
  </si>
  <si>
    <t>Version 2012-02-20</t>
  </si>
  <si>
    <t>* Moved Help info to a separate Help sheet, and added to the Help information.</t>
  </si>
  <si>
    <t>* Corrected Labels on Oil Price forecast.</t>
  </si>
  <si>
    <t xml:space="preserve">       credits are paid off as they accrue.  This assumption is changeable on the "Common Inputs" sheet in the</t>
  </si>
  <si>
    <r>
      <t xml:space="preserve">       "</t>
    </r>
    <r>
      <rPr>
        <b/>
        <sz val="11"/>
        <color theme="1"/>
        <rFont val="Calibri"/>
        <family val="2"/>
        <scheme val="minor"/>
      </rPr>
      <t>Oil/Gas Tax Credit Inputs"</t>
    </r>
    <r>
      <rPr>
        <sz val="11"/>
        <color theme="1"/>
        <rFont val="Calibri"/>
        <family val="2"/>
        <scheme val="minor"/>
      </rPr>
      <t xml:space="preserve"> section, the row labeled "Amount Actually Paid in the Year".</t>
    </r>
  </si>
  <si>
    <r>
      <t xml:space="preserve">       Corporation.  Those are changeable in the </t>
    </r>
    <r>
      <rPr>
        <b/>
        <sz val="11"/>
        <color theme="1"/>
        <rFont val="Calibri"/>
        <family val="2"/>
        <scheme val="minor"/>
      </rPr>
      <t xml:space="preserve">"Rate of Return and Inflation Forecast Assumptions" </t>
    </r>
    <r>
      <rPr>
        <sz val="11"/>
        <color theme="1"/>
        <rFont val="Calibri"/>
        <family val="2"/>
        <scheme val="minor"/>
      </rPr>
      <t>section on</t>
    </r>
  </si>
  <si>
    <t xml:space="preserve">        the "Common Inputs" sheet.</t>
  </si>
  <si>
    <r>
      <rPr>
        <b/>
        <sz val="11"/>
        <color theme="1"/>
        <rFont val="Calibri"/>
        <family val="2"/>
        <scheme val="minor"/>
      </rPr>
      <t xml:space="preserve">Assumptions: </t>
    </r>
    <r>
      <rPr>
        <sz val="11"/>
        <color theme="1"/>
        <rFont val="Calibri"/>
        <family val="2"/>
        <scheme val="minor"/>
      </rPr>
      <t xml:space="preserve">The </t>
    </r>
    <r>
      <rPr>
        <i/>
        <sz val="11"/>
        <color theme="1"/>
        <rFont val="Calibri"/>
        <family val="2"/>
        <scheme val="minor"/>
      </rPr>
      <t>detailed</t>
    </r>
    <r>
      <rPr>
        <sz val="11"/>
        <color theme="1"/>
        <rFont val="Calibri"/>
        <family val="2"/>
        <scheme val="minor"/>
      </rPr>
      <t xml:space="preserve"> fiscal models make a few assumptions that may differ from other similar models:</t>
    </r>
  </si>
  <si>
    <r>
      <t xml:space="preserve">In all models, Input cells are indicated by </t>
    </r>
    <r>
      <rPr>
        <b/>
        <sz val="11"/>
        <color rgb="FF0070C0"/>
        <rFont val="Calibri"/>
        <family val="2"/>
        <scheme val="minor"/>
      </rPr>
      <t>Blue Numbers</t>
    </r>
    <r>
      <rPr>
        <sz val="11"/>
        <rFont val="Calibri"/>
        <family val="2"/>
        <scheme val="minor"/>
      </rPr>
      <t>, such as the cells shown below:</t>
    </r>
  </si>
  <si>
    <t>Other cells with black number or text are either formulas or labels that generally should not be changed by</t>
  </si>
  <si>
    <t>the user.</t>
  </si>
  <si>
    <t>The "Spending Cuts" and "Income Tax" rows were entered manually by the User.  These will included with the</t>
  </si>
  <si>
    <t xml:space="preserve">specific Fiscal Plan being modeled.  In this example, Spending Cuts increasing from $100 M up to $300 M are </t>
  </si>
  <si>
    <t>subsequent years.</t>
  </si>
  <si>
    <t>In each of the fiscal plan models, there is a section bordered by a blue box, just beneath the Fiscal Gap row.</t>
  </si>
  <si>
    <t>the top part of this box is where the plan-specific inputs reside.  In the middle part of the box, the structural</t>
  </si>
  <si>
    <t xml:space="preserve">impacts on the deficit resulting from the Plan are calculated.  Finally, in the lower part of the box there is a </t>
  </si>
  <si>
    <t>section where you can enter any additional spending cuts or revenue enhancements that should be modeled</t>
  </si>
  <si>
    <t>in combination with the fiscal plan.  Here is an example:</t>
  </si>
  <si>
    <t xml:space="preserve">modeled, combined with an Income tax that produced $250 M in revenue in FY18 and $500 M/year in revenue in </t>
  </si>
  <si>
    <t xml:space="preserve">        the "Common Inputs" sheet in the section titled "Spending Baseline for Status Quo".</t>
  </si>
  <si>
    <t>Version 2017-02-28</t>
  </si>
  <si>
    <t>* Corrected incorrect references from Chart sheets (display only, did not affect calculations)</t>
  </si>
  <si>
    <t>(POMV applied to Average of first 5 of last 6 years)</t>
  </si>
  <si>
    <t>Budget Gap with Non-SB70 Solutions</t>
  </si>
  <si>
    <t>* Increased capital spending to $180 M for FY19 and beyond, consistent with Legislative Finance</t>
  </si>
  <si>
    <t>* For simple Tradeoffs model, set deficit to exactly $2.90 B.</t>
  </si>
  <si>
    <t>POMV Draw, with Excess Oil Revenue Offset</t>
  </si>
  <si>
    <t>Monthly CBR &amp; ER Estimates for SB 70</t>
  </si>
  <si>
    <t>SB 70 Model</t>
  </si>
  <si>
    <t>Earning Reserve, SB 70 Model</t>
  </si>
  <si>
    <t>Solutions other than HB 115, $ millions:</t>
  </si>
  <si>
    <r>
      <t xml:space="preserve">        to the left with the green tab and labeled </t>
    </r>
    <r>
      <rPr>
        <b/>
        <sz val="11"/>
        <color theme="1"/>
        <rFont val="Calibri"/>
        <family val="2"/>
        <scheme val="minor"/>
      </rPr>
      <t>"Tradeoffs"</t>
    </r>
    <r>
      <rPr>
        <sz val="11"/>
        <color theme="1"/>
        <rFont val="Calibri"/>
        <family val="2"/>
        <scheme val="minor"/>
      </rPr>
      <t xml:space="preserve">.  It allows you to investigate the tradeoff for any type of </t>
    </r>
  </si>
  <si>
    <r>
      <t xml:space="preserve">        the sheet to the left with the green tab labeled </t>
    </r>
    <r>
      <rPr>
        <b/>
        <sz val="11"/>
        <color theme="1"/>
        <rFont val="Calibri"/>
        <family val="2"/>
        <scheme val="minor"/>
      </rPr>
      <t>"POMV vs Distrib Income"</t>
    </r>
    <r>
      <rPr>
        <sz val="11"/>
        <color theme="1"/>
        <rFont val="Calibri"/>
        <family val="2"/>
        <scheme val="minor"/>
      </rPr>
      <t>.  The model allows you to examine</t>
    </r>
  </si>
  <si>
    <t>SB 70</t>
  </si>
  <si>
    <t>Calculate FY 18 PF Growth Rates for Each Plan</t>
  </si>
  <si>
    <t>Net Income prior to Plan Draw:</t>
  </si>
  <si>
    <t>Plan</t>
  </si>
  <si>
    <t>FY 18 Draw</t>
  </si>
  <si>
    <t>PF Reinvest</t>
  </si>
  <si>
    <t>PF Growth Rate</t>
  </si>
  <si>
    <t>Transfer to Corpus to Limit ER Size</t>
  </si>
  <si>
    <t>For Graphing, ER Limit Transfers, Pos. Values</t>
  </si>
  <si>
    <t>Raio of ER to Payout</t>
  </si>
  <si>
    <t>* Added SB 70 Model.</t>
  </si>
  <si>
    <t>* Added option for 4x ER limit in POMV vs. Distrib. Income model.</t>
  </si>
  <si>
    <t>(equal to Payout of Governor's HB 61 Plan and Senate Finance SB 70 Plan for 3 years)</t>
  </si>
  <si>
    <t>times Payout</t>
  </si>
  <si>
    <t>Limit to:</t>
  </si>
  <si>
    <t>FY18 Deficit</t>
  </si>
  <si>
    <t>All Values are entered manually</t>
  </si>
  <si>
    <t>Copy and paste to cells to the left to use.</t>
  </si>
  <si>
    <t>OMB 10 yr Plan:</t>
  </si>
  <si>
    <t>Spending Baseline for All Plans</t>
  </si>
  <si>
    <t>Change relative to FY 2017</t>
  </si>
  <si>
    <t>Proposed Spending Cuts by Dunleavy</t>
  </si>
  <si>
    <t xml:space="preserve">   (enter 300  600  900  1,100  1,100 to model proposed cuts)</t>
  </si>
  <si>
    <t>Monthly CBR &amp; ER Estimates for SB 84 (Dunleavy) Plan</t>
  </si>
  <si>
    <t>SB 84 (Sen. Dunleavy)</t>
  </si>
  <si>
    <t xml:space="preserve">Permanent Fund with SB 84 </t>
  </si>
  <si>
    <t>Version 2017-03-09</t>
  </si>
  <si>
    <t>* Changed Dunleavy Plan to SB 84 bill, and conformed modeling to bill.</t>
  </si>
  <si>
    <t>* Changed Baseline Spending to equal OMB 10 year plan spending plan.</t>
  </si>
  <si>
    <t>* In "POMV vs Distributable Income" model, allowed for setting the ER limit to values other than 4 x.</t>
  </si>
  <si>
    <t xml:space="preserve">    * The base case level of spending in the model was changed in the 2017-03-09 version of this model</t>
  </si>
  <si>
    <t xml:space="preserve">        to conform to the OMB 10-year spending plan.  Previously, spending was carried-forward at FY17 levels</t>
  </si>
  <si>
    <t xml:space="preserve">        without adjustment for inflation.  These spending assumptions can be changed on</t>
  </si>
  <si>
    <t>(bill is 50%)</t>
  </si>
  <si>
    <t>(bill/current law is 21%.  True average would be 20%)</t>
  </si>
  <si>
    <t>million (not in bill, but Dunleavy proposes $683 M)</t>
  </si>
  <si>
    <r>
      <t xml:space="preserve">(bill </t>
    </r>
    <r>
      <rPr>
        <i/>
        <sz val="11"/>
        <color theme="1"/>
        <rFont val="Calibri"/>
        <family val="2"/>
        <scheme val="minor"/>
      </rPr>
      <t>does</t>
    </r>
    <r>
      <rPr>
        <sz val="11"/>
        <color theme="1"/>
        <rFont val="Calibri"/>
        <family val="2"/>
        <scheme val="minor"/>
      </rPr>
      <t xml:space="preserve"> reduce royalty deposits to 25%)</t>
    </r>
  </si>
  <si>
    <t>million (bill is $1,000 million)</t>
  </si>
  <si>
    <t>of 5 year Average PF Balance (first 5 of last 6 years) (not in bill)</t>
  </si>
  <si>
    <t>* Removed Inflation Proofing in Status Quo case for FY17, as it was not included in the FY17 budget.</t>
  </si>
  <si>
    <t>Withdrawal for Conventional Inflation Proofing</t>
  </si>
  <si>
    <t>Distrib. Income Withdrawl for Dividends &amp; General Fund, offset by Oil Limit</t>
  </si>
  <si>
    <t>Reduction in UGF Payout due to Excess Petroleum Revenue</t>
  </si>
  <si>
    <r>
      <t xml:space="preserve">NOTE: The UGF Payout Sunset is </t>
    </r>
    <r>
      <rPr>
        <b/>
        <i/>
        <sz val="11"/>
        <color rgb="FF7030A0"/>
        <rFont val="Calibri"/>
        <family val="2"/>
        <scheme val="minor"/>
      </rPr>
      <t>not</t>
    </r>
    <r>
      <rPr>
        <b/>
        <sz val="11"/>
        <color rgb="FF7030A0"/>
        <rFont val="Calibri"/>
        <family val="2"/>
        <scheme val="minor"/>
      </rPr>
      <t xml:space="preserve"> </t>
    </r>
    <r>
      <rPr>
        <sz val="11"/>
        <color rgb="FF7030A0"/>
        <rFont val="Calibri"/>
        <family val="2"/>
        <scheme val="minor"/>
      </rPr>
      <t>considered by this model</t>
    </r>
  </si>
  <si>
    <t>HB 61  (Governor), 1/18/2017 Version</t>
  </si>
  <si>
    <t>Dividend amount with SB 26</t>
  </si>
  <si>
    <t>With SB 26</t>
  </si>
  <si>
    <t>Solutions other than SB 26, $ million:</t>
  </si>
  <si>
    <t>SB 84</t>
  </si>
  <si>
    <t>Version 2017-30-30</t>
  </si>
  <si>
    <t>* Changed SB 70 Label to SB 26.</t>
  </si>
  <si>
    <t>* Updated HB 115 to Bill Version</t>
  </si>
  <si>
    <t>* Removed HB 61.</t>
  </si>
  <si>
    <t>HB 115 Plan (House Finance), Version L, 3/23/2017</t>
  </si>
  <si>
    <t>Income Tax Proceeds</t>
  </si>
  <si>
    <t>POMV Inflation Proofing</t>
  </si>
  <si>
    <t>of PF Market Value Average transferred from ER to Principal</t>
  </si>
  <si>
    <t>Minimum Dividend Amount (extra funding comes from ER)</t>
  </si>
  <si>
    <t>Additional Funding needed to Meet Minimum Dividend (from ER)</t>
  </si>
  <si>
    <t>Extra Dividend Funding to meet Minimum Dividend Amount</t>
  </si>
  <si>
    <t>Withdrawl for Conventional Inflation Proofing</t>
  </si>
  <si>
    <t xml:space="preserve">    (The inflation limit on this transfer is *not* modeled yet.)</t>
  </si>
  <si>
    <t>Note: an FY17 POMV transfer is *not* included.</t>
  </si>
  <si>
    <t>ERA-to-General Fund Transfer to fund FY 17</t>
  </si>
  <si>
    <t>5.25% POMV - $696 M Dividend funding</t>
  </si>
  <si>
    <t>ERA to General Fund Transfer for FY 17 Budget</t>
  </si>
  <si>
    <t>FY17</t>
  </si>
  <si>
    <t>Transfer to General Fund for FY 17 Budget</t>
  </si>
  <si>
    <t>Permanent Fund with SB 26</t>
  </si>
  <si>
    <t>* May Payout to General Fund for FY17 as a separate option for each Model.</t>
  </si>
  <si>
    <t>Version 2017-04-12</t>
  </si>
  <si>
    <r>
      <t xml:space="preserve">bill under discussion at the Legislature.  The model is found on the </t>
    </r>
    <r>
      <rPr>
        <b/>
        <sz val="11"/>
        <color theme="1"/>
        <rFont val="Calibri"/>
        <family val="2"/>
        <scheme val="minor"/>
      </rPr>
      <t>SB 26</t>
    </r>
    <r>
      <rPr>
        <sz val="11"/>
        <color theme="1"/>
        <rFont val="Calibri"/>
        <family val="2"/>
        <scheme val="minor"/>
      </rPr>
      <t xml:space="preserve"> sheet and the associated</t>
    </r>
  </si>
  <si>
    <t>and the Version U Committee Subsitute that is currently being addressed in the House.  The model shows the</t>
  </si>
  <si>
    <t xml:space="preserve">                  |</t>
  </si>
  <si>
    <t>$1,200 million for Senate, $1,400 million for House</t>
  </si>
  <si>
    <t>25% for Senate, 33% for House</t>
  </si>
  <si>
    <t>Senate $0 million, House allows appx. $1,690 million</t>
  </si>
  <si>
    <t>% of each $ over Petroleumn Limit that is taken from UGF</t>
  </si>
  <si>
    <t>100% for Senate, 80% for House</t>
  </si>
  <si>
    <t>FY 18 Dividend Restriction</t>
  </si>
  <si>
    <t>FY 19 Dividend Restriction</t>
  </si>
  <si>
    <t>FY 20 Dividend Restriction</t>
  </si>
  <si>
    <t>Fixed</t>
  </si>
  <si>
    <t>Senate $1,000 Fixed, House $1,250 Minimum</t>
  </si>
  <si>
    <t>Senate $1,000 Fixed, House $0 Minimum</t>
  </si>
  <si>
    <t>of PF Market Value.  0% for Senate, 0.25% for House</t>
  </si>
  <si>
    <t>5.25% for Senate version, 5% for House in FY20</t>
  </si>
  <si>
    <t>Contribution to Dividend from UGF</t>
  </si>
  <si>
    <t>Dividend Funding coming from UGF</t>
  </si>
  <si>
    <t>Additional Dividend Funding from ERA to meet Minimum</t>
  </si>
  <si>
    <t>Additional Dividend Funding to meet Minimum Dividend Requirement</t>
  </si>
  <si>
    <t>* Hid all Models except SB 26.</t>
  </si>
  <si>
    <t>* Restructured SB 26 model to accommodate Senate and House versions of the bill.</t>
  </si>
  <si>
    <t>February 28, 2017 PFC Forecast Sheet</t>
  </si>
  <si>
    <t>SB 26 House</t>
  </si>
  <si>
    <t>SB 26 Senate</t>
  </si>
  <si>
    <t>HB 115 Income Tax Bill has net Proceeds of:
0, 336, 679, 684, 689 $M for FY18 - FY22
from 4/10/17 Fiscal Note</t>
  </si>
  <si>
    <t>SB 26 (Senate Final &amp; House Finance Version U)</t>
  </si>
  <si>
    <t>This Excel Workbook has one detailed Fiscal Model of Senate Bill 26. SB 26 is the main Permanent Fund restructuring</t>
  </si>
  <si>
    <r>
      <t xml:space="preserve">charts are on the </t>
    </r>
    <r>
      <rPr>
        <b/>
        <sz val="11"/>
        <color theme="1"/>
        <rFont val="Calibri"/>
        <family val="2"/>
        <scheme val="minor"/>
      </rPr>
      <t>SB 26 Charts</t>
    </r>
    <r>
      <rPr>
        <sz val="11"/>
        <color theme="1"/>
        <rFont val="Calibri"/>
        <family val="2"/>
        <scheme val="minor"/>
      </rPr>
      <t xml:space="preserve"> sheet.  There are two main variations of the bill: the version that passed the Senate</t>
    </r>
  </si>
  <si>
    <t xml:space="preserve">proper inputs that should be used to model each version of the bill. There are also a number of basic inputs on the </t>
  </si>
  <si>
    <t>"Common Inputs" sheet, such as the oil price/production forecast and the Permanent Fund return forecast.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</si>
</sst>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mmm\-yyyy;@"/>
    <numFmt numFmtId="167" formatCode="_(&quot;$&quot;* #,##0_);_(&quot;$&quot;* \(#,##0\);_(&quot;$&quot;* &quot;-&quot;??_);_(@_)"/>
    <numFmt numFmtId="168" formatCode="_(* #,##0.0_);_(* \(#,##0.0\);_(* &quot;-&quot;??_);_(@_)"/>
    <numFmt numFmtId="169" formatCode="General_)"/>
    <numFmt numFmtId="170" formatCode="_ * #,##0_)_$_ ;_ * \(#,##0\)_$_ ;_ * &quot;-&quot;_)_$_ ;_ @_ "/>
    <numFmt numFmtId="171" formatCode="#,##0;\(#,##0\);0"/>
    <numFmt numFmtId="172" formatCode="#,##0.0;\(#,##0.0\);0"/>
    <numFmt numFmtId="173" formatCode="#,##0.00;\(#,##0.00\);0"/>
    <numFmt numFmtId="174" formatCode="#,##0.000000;\(#,##0.000000\);0"/>
    <numFmt numFmtId="175" formatCode="#,##0.00000000;\(#,##0.00000000\);0"/>
    <numFmt numFmtId="176" formatCode="#,##0.0;\-#,##0.0;0.0"/>
    <numFmt numFmtId="177" formatCode="&quot;$&quot;#,##0.00;[Red]\(&quot;$&quot;#,##0.00\);0"/>
    <numFmt numFmtId="178" formatCode="&quot;$&quot;#,##0.000;[Red]\(&quot;$&quot;#,##0.000\);0"/>
    <numFmt numFmtId="179" formatCode="0.00_)"/>
    <numFmt numFmtId="180" formatCode="0.000000_)"/>
    <numFmt numFmtId="181" formatCode="_(* #,##0.0_);_(* \(#,##0.0\);;_(@_)"/>
    <numFmt numFmtId="182" formatCode="0.00_);\(0.00\)"/>
    <numFmt numFmtId="183" formatCode="_(* #,##0.0_);_(* \(#,##0.0\);_(* &quot;-&quot;?_);_(@_)"/>
    <numFmt numFmtId="184" formatCode="0\ &quot;-&quot;"/>
    <numFmt numFmtId="185" formatCode="0.0000"/>
    <numFmt numFmtId="186" formatCode="_(* #,##0.000_);_(* \(#,##0.000\);_(* &quot;-&quot;??_);_(@_)"/>
  </numFmts>
  <fonts count="124"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6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1"/>
      <color rgb="FF1F9132"/>
      <name val="Calibri"/>
      <family val="2"/>
      <scheme val="minor"/>
    </font>
    <font>
      <i/>
      <sz val="11"/>
      <color rgb="FF1F9132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0"/>
      <color indexed="12"/>
      <name val="Palatino"/>
      <family val="1"/>
    </font>
    <font>
      <sz val="12"/>
      <color indexed="12"/>
      <name val="Arial"/>
      <family val="2"/>
    </font>
    <font>
      <sz val="8"/>
      <name val="Times"/>
      <family val="1"/>
    </font>
    <font>
      <sz val="9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1"/>
      <color indexed="20"/>
      <name val="Calibri"/>
      <family val="2"/>
    </font>
    <font>
      <sz val="8"/>
      <name val="Arial"/>
      <family val="2"/>
    </font>
    <font>
      <sz val="10"/>
      <name val="Tms Rmn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22"/>
      <name val="Calibri"/>
      <family val="2"/>
    </font>
    <font>
      <sz val="9"/>
      <name val="Geneva"/>
    </font>
    <font>
      <sz val="9"/>
      <name val="Geneva"/>
      <family val="2"/>
    </font>
    <font>
      <sz val="10"/>
      <name val="Times New Roman"/>
      <family val="1"/>
    </font>
    <font>
      <sz val="1"/>
      <color theme="7" tint="0.59999389629810485"/>
      <name val="Arial"/>
      <family val="2"/>
    </font>
    <font>
      <sz val="12"/>
      <name val="Arial"/>
      <family val="2"/>
    </font>
    <font>
      <sz val="11"/>
      <color indexed="8"/>
      <name val="Perpetua"/>
      <family val="2"/>
    </font>
    <font>
      <sz val="10"/>
      <name val="Helv"/>
    </font>
    <font>
      <b/>
      <sz val="12"/>
      <color indexed="32"/>
      <name val="Palatino"/>
      <family val="1"/>
    </font>
    <font>
      <b/>
      <sz val="11"/>
      <color indexed="8"/>
      <name val="Calibri"/>
      <family val="2"/>
    </font>
    <font>
      <sz val="10"/>
      <name val="Geneva"/>
      <family val="2"/>
    </font>
    <font>
      <sz val="10"/>
      <name val="Geneva"/>
    </font>
    <font>
      <i/>
      <sz val="11"/>
      <color indexed="23"/>
      <name val="Calibri"/>
      <family val="2"/>
    </font>
    <font>
      <sz val="8"/>
      <name val="Helv"/>
    </font>
    <font>
      <sz val="11"/>
      <color indexed="17"/>
      <name val="Calibri"/>
      <family val="2"/>
    </font>
    <font>
      <b/>
      <u/>
      <sz val="14"/>
      <name val="Tms Rmn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name val="Palatino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1"/>
      <color theme="1"/>
      <name val="Perpetua"/>
      <family val="2"/>
    </font>
    <font>
      <sz val="12"/>
      <name val="Helv"/>
    </font>
    <font>
      <sz val="10"/>
      <name val="Tahoma"/>
      <family val="2"/>
    </font>
    <font>
      <sz val="12"/>
      <color theme="1"/>
      <name val="Arial"/>
      <family val="2"/>
    </font>
    <font>
      <i/>
      <sz val="10"/>
      <color indexed="10"/>
      <name val="Helv"/>
    </font>
    <font>
      <b/>
      <sz val="11"/>
      <color indexed="63"/>
      <name val="Calibri"/>
      <family val="2"/>
    </font>
    <font>
      <b/>
      <sz val="10"/>
      <color indexed="8"/>
      <name val="Palatino"/>
      <family val="1"/>
    </font>
    <font>
      <b/>
      <i/>
      <sz val="10"/>
      <color indexed="16"/>
      <name val="Palatino"/>
      <family val="1"/>
    </font>
    <font>
      <b/>
      <sz val="12"/>
      <color indexed="12"/>
      <name val="Bookman Old Style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i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b/>
      <u/>
      <sz val="12"/>
      <name val="Tms Rmn"/>
    </font>
    <font>
      <b/>
      <sz val="10"/>
      <name val="Tms Rmn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rgb="FF0070C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</font>
    <font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70C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22"/>
      <color rgb="FF7030A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sz val="8"/>
      <color rgb="FF000000"/>
      <name val="Segoe UI"/>
      <family val="2"/>
    </font>
    <font>
      <i/>
      <sz val="12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7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53"/>
      </patternFill>
    </fill>
    <fill>
      <patternFill patternType="solid">
        <fgColor indexed="45"/>
        <bgColor indexed="64"/>
      </patternFill>
    </fill>
    <fill>
      <patternFill patternType="solid">
        <fgColor indexed="41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13"/>
      </patternFill>
    </fill>
    <fill>
      <patternFill patternType="solid">
        <fgColor indexed="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1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4"/>
      </patternFill>
    </fill>
    <fill>
      <patternFill patternType="solid">
        <fgColor indexed="3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9"/>
        <b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20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70C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rgb="FF1F9132"/>
      </top>
      <bottom style="thin">
        <color rgb="FF1F9132"/>
      </bottom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/>
      <top/>
      <bottom/>
      <diagonal/>
    </border>
    <border>
      <left/>
      <right style="thick">
        <color theme="4"/>
      </right>
      <top/>
      <bottom/>
      <diagonal/>
    </border>
    <border>
      <left/>
      <right style="thick">
        <color theme="4"/>
      </right>
      <top/>
      <bottom style="thin">
        <color indexed="64"/>
      </bottom>
      <diagonal/>
    </border>
    <border>
      <left style="thick">
        <color theme="4"/>
      </left>
      <right/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auto="1"/>
      </top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theme="4"/>
      </left>
      <right/>
      <top/>
      <bottom style="thick">
        <color rgb="FFFFFF00"/>
      </bottom>
      <diagonal/>
    </border>
    <border>
      <left/>
      <right/>
      <top style="thin">
        <color indexed="64"/>
      </top>
      <bottom style="thick">
        <color theme="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theme="4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12091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8" fillId="0" borderId="0"/>
    <xf numFmtId="44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9" fillId="35" borderId="0" applyNumberFormat="0" applyBorder="0" applyAlignment="0" applyProtection="0"/>
    <xf numFmtId="0" fontId="29" fillId="27" borderId="0" applyNumberFormat="0" applyBorder="0" applyAlignment="0" applyProtection="0"/>
    <xf numFmtId="0" fontId="30" fillId="32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3" fontId="32" fillId="37" borderId="0" applyNumberFormat="0" applyFont="0" applyBorder="0" applyAlignment="0" applyProtection="0"/>
    <xf numFmtId="3" fontId="32" fillId="37" borderId="0" applyNumberFormat="0" applyFont="0" applyBorder="0" applyAlignment="0" applyProtection="0"/>
    <xf numFmtId="3" fontId="32" fillId="37" borderId="0" applyNumberFormat="0" applyFont="0" applyBorder="0" applyAlignment="0" applyProtection="0"/>
    <xf numFmtId="3" fontId="32" fillId="37" borderId="0" applyNumberFormat="0" applyFont="0" applyBorder="0" applyAlignment="0" applyProtection="0"/>
    <xf numFmtId="3" fontId="32" fillId="37" borderId="0" applyNumberFormat="0" applyFont="0" applyBorder="0" applyAlignment="0" applyProtection="0"/>
    <xf numFmtId="3" fontId="32" fillId="37" borderId="0" applyNumberFormat="0" applyFont="0" applyBorder="0" applyAlignment="0" applyProtection="0"/>
    <xf numFmtId="0" fontId="33" fillId="0" borderId="0" applyNumberFormat="0" applyFill="0" applyBorder="0" applyAlignment="0">
      <protection locked="0"/>
    </xf>
    <xf numFmtId="0" fontId="34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28" fillId="0" borderId="0"/>
    <xf numFmtId="0" fontId="35" fillId="0" borderId="0"/>
    <xf numFmtId="0" fontId="35" fillId="0" borderId="0"/>
    <xf numFmtId="0" fontId="28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2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169" fontId="39" fillId="38" borderId="0" applyNumberFormat="0" applyFont="0" applyBorder="0" applyAlignment="0" applyProtection="0"/>
    <xf numFmtId="169" fontId="39" fillId="38" borderId="0" applyFont="0" applyBorder="0" applyAlignment="0" applyProtection="0"/>
    <xf numFmtId="170" fontId="40" fillId="0" borderId="0" applyNumberFormat="0" applyAlignment="0" applyProtection="0">
      <alignment horizontal="center"/>
    </xf>
    <xf numFmtId="0" fontId="41" fillId="13" borderId="24" applyNumberFormat="0" applyAlignment="0" applyProtection="0"/>
    <xf numFmtId="0" fontId="41" fillId="13" borderId="24" applyNumberFormat="0" applyAlignment="0" applyProtection="0"/>
    <xf numFmtId="0" fontId="41" fillId="13" borderId="24" applyNumberFormat="0" applyAlignment="0" applyProtection="0"/>
    <xf numFmtId="0" fontId="41" fillId="13" borderId="24" applyNumberFormat="0" applyAlignment="0" applyProtection="0"/>
    <xf numFmtId="0" fontId="41" fillId="13" borderId="24" applyNumberFormat="0" applyAlignment="0" applyProtection="0"/>
    <xf numFmtId="0" fontId="41" fillId="13" borderId="24" applyNumberFormat="0" applyAlignment="0" applyProtection="0"/>
    <xf numFmtId="0" fontId="41" fillId="13" borderId="24" applyNumberFormat="0" applyAlignment="0" applyProtection="0"/>
    <xf numFmtId="0" fontId="41" fillId="13" borderId="24" applyNumberFormat="0" applyAlignment="0" applyProtection="0"/>
    <xf numFmtId="0" fontId="41" fillId="13" borderId="24" applyNumberFormat="0" applyAlignment="0" applyProtection="0"/>
    <xf numFmtId="0" fontId="41" fillId="13" borderId="24" applyNumberFormat="0" applyAlignment="0" applyProtection="0"/>
    <xf numFmtId="0" fontId="41" fillId="13" borderId="24" applyNumberFormat="0" applyAlignment="0" applyProtection="0"/>
    <xf numFmtId="0" fontId="41" fillId="13" borderId="24" applyNumberFormat="0" applyAlignment="0" applyProtection="0"/>
    <xf numFmtId="0" fontId="41" fillId="5" borderId="24" applyNumberFormat="0" applyAlignment="0" applyProtection="0"/>
    <xf numFmtId="0" fontId="41" fillId="5" borderId="24" applyNumberFormat="0" applyAlignment="0" applyProtection="0"/>
    <xf numFmtId="0" fontId="41" fillId="5" borderId="24" applyNumberFormat="0" applyAlignment="0" applyProtection="0"/>
    <xf numFmtId="0" fontId="41" fillId="5" borderId="24" applyNumberFormat="0" applyAlignment="0" applyProtection="0"/>
    <xf numFmtId="0" fontId="41" fillId="5" borderId="24" applyNumberFormat="0" applyAlignment="0" applyProtection="0"/>
    <xf numFmtId="0" fontId="41" fillId="5" borderId="24" applyNumberFormat="0" applyAlignment="0" applyProtection="0"/>
    <xf numFmtId="0" fontId="41" fillId="13" borderId="24" applyNumberFormat="0" applyAlignment="0" applyProtection="0"/>
    <xf numFmtId="0" fontId="41" fillId="13" borderId="24" applyNumberFormat="0" applyAlignment="0" applyProtection="0"/>
    <xf numFmtId="0" fontId="42" fillId="39" borderId="25" applyNumberFormat="0" applyAlignment="0" applyProtection="0"/>
    <xf numFmtId="0" fontId="42" fillId="39" borderId="25" applyNumberFormat="0" applyAlignment="0" applyProtection="0"/>
    <xf numFmtId="0" fontId="42" fillId="39" borderId="25" applyNumberFormat="0" applyAlignment="0" applyProtection="0"/>
    <xf numFmtId="0" fontId="42" fillId="39" borderId="25" applyNumberFormat="0" applyAlignment="0" applyProtection="0"/>
    <xf numFmtId="0" fontId="42" fillId="39" borderId="25" applyNumberFormat="0" applyAlignment="0" applyProtection="0"/>
    <xf numFmtId="0" fontId="42" fillId="39" borderId="25" applyNumberFormat="0" applyAlignment="0" applyProtection="0"/>
    <xf numFmtId="0" fontId="43" fillId="39" borderId="25" applyNumberFormat="0" applyAlignment="0" applyProtection="0"/>
    <xf numFmtId="0" fontId="43" fillId="39" borderId="25" applyNumberFormat="0" applyAlignment="0" applyProtection="0"/>
    <xf numFmtId="0" fontId="43" fillId="39" borderId="25" applyNumberFormat="0" applyAlignment="0" applyProtection="0"/>
    <xf numFmtId="0" fontId="43" fillId="39" borderId="25" applyNumberFormat="0" applyAlignment="0" applyProtection="0"/>
    <xf numFmtId="0" fontId="43" fillId="39" borderId="25" applyNumberFormat="0" applyAlignment="0" applyProtection="0"/>
    <xf numFmtId="0" fontId="42" fillId="39" borderId="25" applyNumberFormat="0" applyAlignment="0" applyProtection="0"/>
    <xf numFmtId="0" fontId="42" fillId="39" borderId="25" applyNumberFormat="0" applyAlignment="0" applyProtection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71" fontId="44" fillId="0" borderId="0" applyFill="0" applyBorder="0" applyAlignment="0" applyProtection="0"/>
    <xf numFmtId="171" fontId="45" fillId="0" borderId="0" applyFill="0" applyBorder="0" applyAlignment="0" applyProtection="0"/>
    <xf numFmtId="171" fontId="45" fillId="0" borderId="0" applyFill="0" applyBorder="0" applyAlignment="0" applyProtection="0"/>
    <xf numFmtId="171" fontId="44" fillId="0" borderId="0" applyFill="0" applyBorder="0" applyAlignment="0" applyProtection="0"/>
    <xf numFmtId="171" fontId="45" fillId="0" borderId="0" applyFill="0" applyBorder="0" applyAlignment="0" applyProtection="0"/>
    <xf numFmtId="171" fontId="45" fillId="0" borderId="0" applyFill="0" applyBorder="0" applyAlignment="0" applyProtection="0"/>
    <xf numFmtId="172" fontId="44" fillId="0" borderId="0" applyFill="0" applyBorder="0" applyAlignment="0" applyProtection="0"/>
    <xf numFmtId="172" fontId="45" fillId="0" borderId="0" applyFill="0" applyBorder="0" applyAlignment="0" applyProtection="0"/>
    <xf numFmtId="172" fontId="45" fillId="0" borderId="0" applyFill="0" applyBorder="0" applyAlignment="0" applyProtection="0"/>
    <xf numFmtId="172" fontId="44" fillId="0" borderId="0" applyFill="0" applyBorder="0" applyAlignment="0" applyProtection="0"/>
    <xf numFmtId="172" fontId="45" fillId="0" borderId="0" applyFill="0" applyBorder="0" applyAlignment="0" applyProtection="0"/>
    <xf numFmtId="172" fontId="45" fillId="0" borderId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3" fontId="44" fillId="0" borderId="19" applyFill="0" applyBorder="0" applyAlignment="0" applyProtection="0"/>
    <xf numFmtId="173" fontId="45" fillId="0" borderId="19" applyFill="0" applyBorder="0" applyAlignment="0" applyProtection="0"/>
    <xf numFmtId="173" fontId="44" fillId="0" borderId="19" applyFill="0" applyBorder="0" applyAlignment="0" applyProtection="0"/>
    <xf numFmtId="43" fontId="28" fillId="0" borderId="0" applyFont="0" applyFill="0" applyBorder="0" applyAlignment="0" applyProtection="0"/>
    <xf numFmtId="173" fontId="44" fillId="0" borderId="19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3" fontId="45" fillId="0" borderId="19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3" fontId="44" fillId="0" borderId="19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45" fillId="0" borderId="19" applyFill="0" applyBorder="0" applyAlignment="0" applyProtection="0"/>
    <xf numFmtId="173" fontId="45" fillId="0" borderId="19" applyFill="0" applyBorder="0" applyAlignment="0" applyProtection="0"/>
    <xf numFmtId="173" fontId="45" fillId="0" borderId="19" applyFill="0" applyBorder="0" applyAlignment="0" applyProtection="0"/>
    <xf numFmtId="173" fontId="45" fillId="0" borderId="19" applyFill="0" applyBorder="0" applyAlignment="0" applyProtection="0"/>
    <xf numFmtId="43" fontId="28" fillId="0" borderId="0" applyFont="0" applyFill="0" applyBorder="0" applyAlignment="0" applyProtection="0"/>
    <xf numFmtId="173" fontId="44" fillId="0" borderId="19" applyFill="0" applyBorder="0" applyAlignment="0" applyProtection="0"/>
    <xf numFmtId="173" fontId="45" fillId="0" borderId="19" applyFill="0" applyBorder="0" applyAlignment="0" applyProtection="0"/>
    <xf numFmtId="0" fontId="28" fillId="0" borderId="0"/>
    <xf numFmtId="173" fontId="45" fillId="0" borderId="19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0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5" fillId="0" borderId="1" applyFill="0" applyBorder="0" applyAlignment="0" applyProtection="0">
      <alignment horizontal="right"/>
    </xf>
    <xf numFmtId="174" fontId="45" fillId="0" borderId="1" applyFill="0" applyBorder="0" applyAlignment="0" applyProtection="0">
      <alignment horizontal="right"/>
    </xf>
    <xf numFmtId="174" fontId="44" fillId="0" borderId="1" applyFill="0" applyBorder="0" applyAlignment="0" applyProtection="0">
      <alignment horizontal="right"/>
    </xf>
    <xf numFmtId="174" fontId="44" fillId="0" borderId="1" applyFill="0" applyBorder="0" applyAlignment="0" applyProtection="0">
      <alignment horizontal="right"/>
    </xf>
    <xf numFmtId="174" fontId="45" fillId="0" borderId="1" applyFill="0" applyBorder="0" applyAlignment="0" applyProtection="0">
      <alignment horizontal="right"/>
    </xf>
    <xf numFmtId="174" fontId="44" fillId="0" borderId="1" applyFill="0" applyBorder="0" applyAlignment="0" applyProtection="0">
      <alignment horizontal="right"/>
    </xf>
    <xf numFmtId="174" fontId="44" fillId="0" borderId="1" applyFill="0" applyBorder="0" applyAlignment="0" applyProtection="0">
      <alignment horizontal="right"/>
    </xf>
    <xf numFmtId="174" fontId="45" fillId="0" borderId="1" applyFill="0" applyBorder="0" applyAlignment="0" applyProtection="0">
      <alignment horizontal="right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5" fontId="45" fillId="0" borderId="1" applyFill="0" applyBorder="0" applyAlignment="0" applyProtection="0">
      <alignment horizontal="right"/>
    </xf>
    <xf numFmtId="175" fontId="45" fillId="0" borderId="1" applyFill="0" applyBorder="0" applyAlignment="0" applyProtection="0">
      <alignment horizontal="right"/>
    </xf>
    <xf numFmtId="175" fontId="44" fillId="0" borderId="1" applyFill="0" applyBorder="0" applyAlignment="0" applyProtection="0">
      <alignment horizontal="right"/>
    </xf>
    <xf numFmtId="175" fontId="45" fillId="0" borderId="1" applyFill="0" applyBorder="0" applyAlignment="0" applyProtection="0">
      <alignment horizontal="right"/>
    </xf>
    <xf numFmtId="175" fontId="44" fillId="0" borderId="1" applyFill="0" applyBorder="0" applyAlignment="0" applyProtection="0">
      <alignment horizontal="right"/>
    </xf>
    <xf numFmtId="175" fontId="44" fillId="0" borderId="1" applyFill="0" applyBorder="0" applyAlignment="0" applyProtection="0">
      <alignment horizontal="right"/>
    </xf>
    <xf numFmtId="175" fontId="45" fillId="0" borderId="1" applyFill="0" applyBorder="0" applyAlignment="0" applyProtection="0">
      <alignment horizontal="right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6" fontId="5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5" fillId="0" borderId="0" applyFont="0" applyFill="0" applyBorder="0" applyAlignment="0" applyProtection="0"/>
    <xf numFmtId="177" fontId="45" fillId="0" borderId="0" applyFill="0" applyBorder="0" applyAlignment="0" applyProtection="0"/>
    <xf numFmtId="177" fontId="45" fillId="0" borderId="0" applyFill="0" applyBorder="0" applyAlignment="0" applyProtection="0"/>
    <xf numFmtId="44" fontId="28" fillId="0" borderId="0" applyFont="0" applyFill="0" applyBorder="0" applyAlignment="0" applyProtection="0"/>
    <xf numFmtId="177" fontId="44" fillId="0" borderId="0" applyFill="0" applyBorder="0" applyAlignment="0" applyProtection="0"/>
    <xf numFmtId="177" fontId="45" fillId="0" borderId="0" applyFill="0" applyBorder="0" applyAlignment="0" applyProtection="0"/>
    <xf numFmtId="177" fontId="44" fillId="0" borderId="0" applyFill="0" applyBorder="0" applyAlignment="0" applyProtection="0"/>
    <xf numFmtId="177" fontId="44" fillId="0" borderId="0" applyFill="0" applyBorder="0" applyAlignment="0" applyProtection="0"/>
    <xf numFmtId="177" fontId="45" fillId="0" borderId="0" applyFill="0" applyBorder="0" applyAlignment="0" applyProtection="0"/>
    <xf numFmtId="44" fontId="28" fillId="0" borderId="0" applyFont="0" applyFill="0" applyBorder="0" applyAlignment="0" applyProtection="0"/>
    <xf numFmtId="8" fontId="37" fillId="0" borderId="0" applyFont="0" applyFill="0" applyBorder="0" applyAlignment="0" applyProtection="0"/>
    <xf numFmtId="178" fontId="45" fillId="0" borderId="3" applyFill="0" applyBorder="0" applyAlignment="0" applyProtection="0"/>
    <xf numFmtId="178" fontId="45" fillId="0" borderId="3" applyFill="0" applyBorder="0" applyAlignment="0" applyProtection="0"/>
    <xf numFmtId="44" fontId="28" fillId="0" borderId="0" applyFont="0" applyFill="0" applyBorder="0" applyAlignment="0" applyProtection="0"/>
    <xf numFmtId="178" fontId="44" fillId="0" borderId="3" applyFill="0" applyBorder="0" applyAlignment="0" applyProtection="0"/>
    <xf numFmtId="178" fontId="45" fillId="0" borderId="3" applyFill="0" applyBorder="0" applyAlignment="0" applyProtection="0"/>
    <xf numFmtId="178" fontId="44" fillId="0" borderId="3" applyFill="0" applyBorder="0" applyAlignment="0" applyProtection="0"/>
    <xf numFmtId="178" fontId="44" fillId="0" borderId="3" applyFill="0" applyBorder="0" applyAlignment="0" applyProtection="0"/>
    <xf numFmtId="178" fontId="45" fillId="0" borderId="3" applyFill="0" applyBorder="0" applyAlignment="0" applyProtection="0"/>
    <xf numFmtId="8" fontId="37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28" fillId="0" borderId="0" applyFont="0" applyFill="0" applyBorder="0" applyAlignment="0" applyProtection="0"/>
    <xf numFmtId="8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3" fillId="0" borderId="20" applyFont="0">
      <alignment horizontal="left"/>
    </xf>
    <xf numFmtId="0" fontId="53" fillId="0" borderId="20" applyFont="0">
      <alignment horizontal="left"/>
    </xf>
    <xf numFmtId="0" fontId="54" fillId="0" borderId="20" applyFont="0">
      <alignment horizontal="left"/>
    </xf>
    <xf numFmtId="0" fontId="53" fillId="0" borderId="20" applyFont="0">
      <alignment horizontal="left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8" fillId="0" borderId="0">
      <alignment horizontal="center"/>
    </xf>
    <xf numFmtId="0" fontId="59" fillId="0" borderId="26" applyNumberFormat="0" applyFill="0" applyAlignment="0" applyProtection="0"/>
    <xf numFmtId="0" fontId="59" fillId="0" borderId="26" applyNumberFormat="0" applyFill="0" applyAlignment="0" applyProtection="0"/>
    <xf numFmtId="0" fontId="59" fillId="0" borderId="26" applyNumberFormat="0" applyFill="0" applyAlignment="0" applyProtection="0"/>
    <xf numFmtId="0" fontId="59" fillId="0" borderId="26" applyNumberFormat="0" applyFill="0" applyAlignment="0" applyProtection="0"/>
    <xf numFmtId="0" fontId="59" fillId="0" borderId="26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27" applyNumberFormat="0" applyFill="0" applyAlignment="0" applyProtection="0"/>
    <xf numFmtId="0" fontId="60" fillId="0" borderId="27" applyNumberFormat="0" applyFill="0" applyAlignment="0" applyProtection="0"/>
    <xf numFmtId="0" fontId="60" fillId="0" borderId="27" applyNumberFormat="0" applyFill="0" applyAlignment="0" applyProtection="0"/>
    <xf numFmtId="0" fontId="60" fillId="0" borderId="27" applyNumberFormat="0" applyFill="0" applyAlignment="0" applyProtection="0"/>
    <xf numFmtId="0" fontId="59" fillId="0" borderId="26" applyNumberFormat="0" applyFill="0" applyAlignment="0" applyProtection="0"/>
    <xf numFmtId="0" fontId="59" fillId="0" borderId="26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3" fillId="0" borderId="29" applyNumberFormat="0" applyFill="0" applyAlignment="0" applyProtection="0"/>
    <xf numFmtId="0" fontId="63" fillId="0" borderId="29" applyNumberFormat="0" applyFill="0" applyAlignment="0" applyProtection="0"/>
    <xf numFmtId="0" fontId="63" fillId="0" borderId="29" applyNumberFormat="0" applyFill="0" applyAlignment="0" applyProtection="0"/>
    <xf numFmtId="0" fontId="63" fillId="0" borderId="29" applyNumberFormat="0" applyFill="0" applyAlignment="0" applyProtection="0"/>
    <xf numFmtId="0" fontId="63" fillId="0" borderId="29" applyNumberFormat="0" applyFill="0" applyAlignment="0" applyProtection="0"/>
    <xf numFmtId="0" fontId="63" fillId="0" borderId="29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3" fillId="0" borderId="29" applyNumberFormat="0" applyFill="0" applyAlignment="0" applyProtection="0"/>
    <xf numFmtId="0" fontId="63" fillId="0" borderId="29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7" fillId="7" borderId="24" applyNumberFormat="0" applyAlignment="0" applyProtection="0"/>
    <xf numFmtId="0" fontId="67" fillId="7" borderId="24" applyNumberFormat="0" applyAlignment="0" applyProtection="0"/>
    <xf numFmtId="0" fontId="67" fillId="7" borderId="24" applyNumberFormat="0" applyAlignment="0" applyProtection="0"/>
    <xf numFmtId="10" fontId="68" fillId="43" borderId="0" applyNumberFormat="0" applyFont="0" applyBorder="0" applyAlignment="0" applyProtection="0"/>
    <xf numFmtId="0" fontId="67" fillId="7" borderId="24" applyNumberFormat="0" applyAlignment="0" applyProtection="0"/>
    <xf numFmtId="0" fontId="67" fillId="7" borderId="24" applyNumberFormat="0" applyAlignment="0" applyProtection="0"/>
    <xf numFmtId="10" fontId="68" fillId="43" borderId="0" applyNumberFormat="0" applyFont="0" applyBorder="0" applyAlignment="0" applyProtection="0"/>
    <xf numFmtId="10" fontId="68" fillId="43" borderId="0" applyNumberFormat="0" applyFont="0" applyBorder="0" applyAlignment="0" applyProtection="0"/>
    <xf numFmtId="10" fontId="68" fillId="43" borderId="0" applyNumberFormat="0" applyFont="0" applyBorder="0" applyAlignment="0" applyProtection="0"/>
    <xf numFmtId="10" fontId="68" fillId="43" borderId="0" applyNumberFormat="0" applyFont="0" applyBorder="0" applyAlignment="0" applyProtection="0"/>
    <xf numFmtId="10" fontId="68" fillId="43" borderId="0" applyNumberFormat="0" applyFont="0" applyBorder="0" applyAlignment="0" applyProtection="0"/>
    <xf numFmtId="0" fontId="67" fillId="7" borderId="24" applyNumberFormat="0" applyAlignment="0" applyProtection="0"/>
    <xf numFmtId="0" fontId="67" fillId="7" borderId="24" applyNumberFormat="0" applyAlignment="0" applyProtection="0"/>
    <xf numFmtId="0" fontId="67" fillId="7" borderId="24" applyNumberFormat="0" applyAlignment="0" applyProtection="0"/>
    <xf numFmtId="10" fontId="68" fillId="43" borderId="0" applyNumberFormat="0" applyFont="0" applyBorder="0" applyAlignment="0" applyProtection="0"/>
    <xf numFmtId="10" fontId="68" fillId="43" borderId="0" applyNumberFormat="0" applyFont="0" applyBorder="0" applyAlignment="0" applyProtection="0"/>
    <xf numFmtId="0" fontId="67" fillId="7" borderId="24" applyNumberFormat="0" applyAlignment="0" applyProtection="0"/>
    <xf numFmtId="10" fontId="68" fillId="43" borderId="0" applyNumberFormat="0" applyFont="0" applyBorder="0" applyAlignment="0" applyProtection="0"/>
    <xf numFmtId="10" fontId="68" fillId="43" borderId="0" applyNumberFormat="0" applyFont="0" applyBorder="0" applyAlignment="0" applyProtection="0"/>
    <xf numFmtId="0" fontId="67" fillId="7" borderId="24" applyNumberFormat="0" applyAlignment="0" applyProtection="0"/>
    <xf numFmtId="0" fontId="67" fillId="7" borderId="24" applyNumberFormat="0" applyAlignment="0" applyProtection="0"/>
    <xf numFmtId="10" fontId="68" fillId="43" borderId="0" applyNumberFormat="0" applyFont="0" applyBorder="0" applyAlignment="0" applyProtection="0"/>
    <xf numFmtId="0" fontId="67" fillId="7" borderId="24" applyNumberFormat="0" applyAlignment="0" applyProtection="0"/>
    <xf numFmtId="10" fontId="68" fillId="43" borderId="0" applyNumberFormat="0" applyFont="0" applyBorder="0" applyAlignment="0" applyProtection="0"/>
    <xf numFmtId="0" fontId="67" fillId="7" borderId="24" applyNumberFormat="0" applyAlignment="0" applyProtection="0"/>
    <xf numFmtId="0" fontId="67" fillId="7" borderId="24" applyNumberFormat="0" applyAlignment="0" applyProtection="0"/>
    <xf numFmtId="0" fontId="54" fillId="44" borderId="0" applyNumberFormat="0" applyFont="0" applyBorder="0" applyAlignment="0" applyProtection="0"/>
    <xf numFmtId="0" fontId="53" fillId="44" borderId="0" applyNumberFormat="0" applyFont="0" applyBorder="0" applyAlignment="0" applyProtection="0"/>
    <xf numFmtId="0" fontId="53" fillId="44" borderId="0" applyNumberFormat="0" applyFont="0" applyBorder="0" applyAlignment="0" applyProtection="0"/>
    <xf numFmtId="0" fontId="54" fillId="44" borderId="0" applyNumberFormat="0" applyFont="0" applyBorder="0" applyAlignment="0" applyProtection="0"/>
    <xf numFmtId="0" fontId="53" fillId="44" borderId="0" applyNumberFormat="0" applyFont="0" applyBorder="0" applyAlignment="0" applyProtection="0"/>
    <xf numFmtId="0" fontId="53" fillId="44" borderId="0" applyNumberFormat="0" applyFont="0" applyBorder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54" fillId="45" borderId="0" applyNumberFormat="0" applyFont="0" applyBorder="0" applyAlignment="0" applyProtection="0"/>
    <xf numFmtId="0" fontId="53" fillId="45" borderId="0" applyNumberFormat="0" applyFont="0" applyBorder="0" applyAlignment="0" applyProtection="0"/>
    <xf numFmtId="0" fontId="53" fillId="45" borderId="0" applyNumberFormat="0" applyFont="0" applyBorder="0" applyAlignment="0" applyProtection="0"/>
    <xf numFmtId="0" fontId="54" fillId="45" borderId="0" applyNumberFormat="0" applyFont="0" applyBorder="0" applyAlignment="0" applyProtection="0"/>
    <xf numFmtId="0" fontId="53" fillId="45" borderId="0" applyNumberFormat="0" applyFont="0" applyBorder="0" applyAlignment="0" applyProtection="0"/>
    <xf numFmtId="0" fontId="53" fillId="45" borderId="0" applyNumberFormat="0" applyFont="0" applyBorder="0" applyAlignment="0" applyProtection="0"/>
    <xf numFmtId="42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179" fontId="71" fillId="0" borderId="0"/>
    <xf numFmtId="179" fontId="28" fillId="0" borderId="0"/>
    <xf numFmtId="179" fontId="28" fillId="0" borderId="0"/>
    <xf numFmtId="179" fontId="28" fillId="0" borderId="0"/>
    <xf numFmtId="179" fontId="28" fillId="0" borderId="0"/>
    <xf numFmtId="179" fontId="28" fillId="0" borderId="0"/>
    <xf numFmtId="179" fontId="71" fillId="0" borderId="0"/>
    <xf numFmtId="179" fontId="47" fillId="0" borderId="0"/>
    <xf numFmtId="0" fontId="2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4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2" fillId="0" borderId="0"/>
    <xf numFmtId="0" fontId="72" fillId="0" borderId="0"/>
    <xf numFmtId="0" fontId="2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28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47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35" fillId="0" borderId="0"/>
    <xf numFmtId="0" fontId="28" fillId="0" borderId="0"/>
    <xf numFmtId="0" fontId="35" fillId="0" borderId="0"/>
    <xf numFmtId="0" fontId="28" fillId="0" borderId="0"/>
    <xf numFmtId="0" fontId="35" fillId="0" borderId="0"/>
    <xf numFmtId="0" fontId="28" fillId="0" borderId="0"/>
    <xf numFmtId="0" fontId="35" fillId="0" borderId="0"/>
    <xf numFmtId="0" fontId="28" fillId="0" borderId="0"/>
    <xf numFmtId="0" fontId="3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35" fillId="0" borderId="0"/>
    <xf numFmtId="169" fontId="7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2" fillId="0" borderId="0"/>
    <xf numFmtId="0" fontId="35" fillId="0" borderId="0"/>
    <xf numFmtId="180" fontId="46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2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46" fillId="46" borderId="19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46" fillId="46" borderId="19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46" fillId="46" borderId="19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46" fillId="46" borderId="19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9" fontId="46" fillId="46" borderId="19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46" fillId="46" borderId="19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46" fillId="46" borderId="19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46" fillId="46" borderId="19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9" fontId="46" fillId="46" borderId="19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46" fillId="46" borderId="19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9" fontId="46" fillId="46" borderId="19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46" fillId="46" borderId="19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7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5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46" fillId="46" borderId="19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46" fillId="46" borderId="19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46" fillId="46" borderId="19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46" fillId="46" borderId="19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46" fillId="46" borderId="19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46" fillId="46" borderId="19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169" fontId="46" fillId="46" borderId="19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46" fillId="46" borderId="19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169" fontId="46" fillId="46" borderId="19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46" fillId="46" borderId="19"/>
    <xf numFmtId="0" fontId="5" fillId="0" borderId="0"/>
    <xf numFmtId="0" fontId="5" fillId="0" borderId="0"/>
    <xf numFmtId="169" fontId="46" fillId="46" borderId="19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46" fillId="46" borderId="19"/>
    <xf numFmtId="0" fontId="5" fillId="0" borderId="0"/>
    <xf numFmtId="0" fontId="5" fillId="0" borderId="0"/>
    <xf numFmtId="169" fontId="46" fillId="46" borderId="19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46" fillId="46" borderId="19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169" fontId="46" fillId="46" borderId="19"/>
    <xf numFmtId="0" fontId="28" fillId="0" borderId="0"/>
    <xf numFmtId="169" fontId="46" fillId="46" borderId="19"/>
    <xf numFmtId="0" fontId="3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9" fontId="46" fillId="46" borderId="19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46" fillId="46" borderId="19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9" fontId="46" fillId="46" borderId="19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46" fillId="46" borderId="19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8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5" fillId="0" borderId="0"/>
    <xf numFmtId="0" fontId="28" fillId="0" borderId="0"/>
    <xf numFmtId="0" fontId="75" fillId="0" borderId="0"/>
    <xf numFmtId="0" fontId="5" fillId="0" borderId="0"/>
    <xf numFmtId="0" fontId="3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9" fontId="46" fillId="46" borderId="19"/>
    <xf numFmtId="0" fontId="28" fillId="0" borderId="0"/>
    <xf numFmtId="169" fontId="46" fillId="46" borderId="19"/>
    <xf numFmtId="0" fontId="3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9" fontId="46" fillId="46" borderId="19"/>
    <xf numFmtId="0" fontId="28" fillId="0" borderId="0"/>
    <xf numFmtId="169" fontId="46" fillId="46" borderId="19"/>
    <xf numFmtId="0" fontId="3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9" fontId="46" fillId="46" borderId="19"/>
    <xf numFmtId="0" fontId="28" fillId="0" borderId="0"/>
    <xf numFmtId="169" fontId="46" fillId="46" borderId="19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9" fontId="46" fillId="46" borderId="19"/>
    <xf numFmtId="0" fontId="28" fillId="0" borderId="0"/>
    <xf numFmtId="169" fontId="46" fillId="46" borderId="19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9" fontId="46" fillId="46" borderId="19"/>
    <xf numFmtId="0" fontId="28" fillId="0" borderId="0"/>
    <xf numFmtId="169" fontId="46" fillId="46" borderId="19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9" fontId="46" fillId="46" borderId="19"/>
    <xf numFmtId="0" fontId="28" fillId="0" borderId="0"/>
    <xf numFmtId="169" fontId="46" fillId="46" borderId="19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9" fontId="46" fillId="46" borderId="19"/>
    <xf numFmtId="0" fontId="28" fillId="0" borderId="0"/>
    <xf numFmtId="169" fontId="46" fillId="46" borderId="19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9" fontId="46" fillId="46" borderId="19"/>
    <xf numFmtId="0" fontId="28" fillId="0" borderId="0"/>
    <xf numFmtId="169" fontId="46" fillId="46" borderId="19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9" fontId="46" fillId="46" borderId="19"/>
    <xf numFmtId="0" fontId="28" fillId="0" borderId="0"/>
    <xf numFmtId="169" fontId="46" fillId="46" borderId="19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9" fontId="46" fillId="46" borderId="19"/>
    <xf numFmtId="0" fontId="28" fillId="0" borderId="0"/>
    <xf numFmtId="169" fontId="46" fillId="46" borderId="19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9" fontId="46" fillId="46" borderId="19"/>
    <xf numFmtId="0" fontId="28" fillId="0" borderId="0"/>
    <xf numFmtId="169" fontId="46" fillId="46" borderId="19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9" fontId="46" fillId="46" borderId="19"/>
    <xf numFmtId="0" fontId="28" fillId="0" borderId="0"/>
    <xf numFmtId="169" fontId="46" fillId="46" borderId="19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9" fontId="46" fillId="46" borderId="19"/>
    <xf numFmtId="0" fontId="28" fillId="0" borderId="0"/>
    <xf numFmtId="169" fontId="46" fillId="46" borderId="19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9" fontId="46" fillId="46" borderId="19"/>
    <xf numFmtId="169" fontId="46" fillId="46" borderId="19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9" fontId="46" fillId="46" borderId="19"/>
    <xf numFmtId="169" fontId="46" fillId="46" borderId="19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8" fillId="0" borderId="0"/>
    <xf numFmtId="0" fontId="28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8" fillId="0" borderId="0"/>
    <xf numFmtId="0" fontId="28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8" fillId="0" borderId="0"/>
    <xf numFmtId="0" fontId="28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37" fillId="0" borderId="0"/>
    <xf numFmtId="0" fontId="37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35" fillId="0" borderId="0"/>
    <xf numFmtId="0" fontId="28" fillId="0" borderId="0"/>
    <xf numFmtId="0" fontId="28" fillId="0" borderId="0"/>
    <xf numFmtId="0" fontId="35" fillId="0" borderId="0"/>
    <xf numFmtId="0" fontId="35" fillId="0" borderId="0"/>
    <xf numFmtId="0" fontId="28" fillId="0" borderId="0"/>
    <xf numFmtId="1" fontId="76" fillId="0" borderId="20">
      <alignment horizontal="center"/>
    </xf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73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5" fillId="2" borderId="15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5" fillId="2" borderId="15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9" fillId="9" borderId="32" applyNumberFormat="0" applyFont="0" applyAlignment="0" applyProtection="0"/>
    <xf numFmtId="0" fontId="29" fillId="9" borderId="32" applyNumberFormat="0" applyFont="0" applyAlignment="0" applyProtection="0"/>
    <xf numFmtId="0" fontId="29" fillId="9" borderId="32" applyNumberFormat="0" applyFont="0" applyAlignment="0" applyProtection="0"/>
    <xf numFmtId="0" fontId="28" fillId="9" borderId="32" applyNumberFormat="0" applyFont="0" applyAlignment="0" applyProtection="0"/>
    <xf numFmtId="0" fontId="29" fillId="9" borderId="32" applyNumberFormat="0" applyFont="0" applyAlignment="0" applyProtection="0"/>
    <xf numFmtId="0" fontId="29" fillId="9" borderId="32" applyNumberFormat="0" applyFont="0" applyAlignment="0" applyProtection="0"/>
    <xf numFmtId="0" fontId="28" fillId="9" borderId="32" applyNumberFormat="0" applyFont="0" applyAlignment="0" applyProtection="0"/>
    <xf numFmtId="0" fontId="29" fillId="9" borderId="32" applyNumberFormat="0" applyFont="0" applyAlignment="0" applyProtection="0"/>
    <xf numFmtId="0" fontId="29" fillId="9" borderId="32" applyNumberFormat="0" applyFont="0" applyAlignment="0" applyProtection="0"/>
    <xf numFmtId="0" fontId="28" fillId="9" borderId="32" applyNumberFormat="0" applyFont="0" applyAlignment="0" applyProtection="0"/>
    <xf numFmtId="0" fontId="29" fillId="9" borderId="32" applyNumberFormat="0" applyFont="0" applyAlignment="0" applyProtection="0"/>
    <xf numFmtId="0" fontId="29" fillId="9" borderId="32" applyNumberFormat="0" applyFont="0" applyAlignment="0" applyProtection="0"/>
    <xf numFmtId="0" fontId="28" fillId="9" borderId="32" applyNumberFormat="0" applyFont="0" applyAlignment="0" applyProtection="0"/>
    <xf numFmtId="0" fontId="29" fillId="9" borderId="32" applyNumberFormat="0" applyFont="0" applyAlignment="0" applyProtection="0"/>
    <xf numFmtId="0" fontId="29" fillId="9" borderId="32" applyNumberFormat="0" applyFont="0" applyAlignment="0" applyProtection="0"/>
    <xf numFmtId="0" fontId="28" fillId="9" borderId="32" applyNumberFormat="0" applyFont="0" applyAlignment="0" applyProtection="0"/>
    <xf numFmtId="0" fontId="29" fillId="9" borderId="32" applyNumberFormat="0" applyFont="0" applyAlignment="0" applyProtection="0"/>
    <xf numFmtId="0" fontId="29" fillId="9" borderId="32" applyNumberFormat="0" applyFont="0" applyAlignment="0" applyProtection="0"/>
    <xf numFmtId="0" fontId="28" fillId="9" borderId="32" applyNumberFormat="0" applyFont="0" applyAlignment="0" applyProtection="0"/>
    <xf numFmtId="0" fontId="29" fillId="9" borderId="32" applyNumberFormat="0" applyFont="0" applyAlignment="0" applyProtection="0"/>
    <xf numFmtId="0" fontId="29" fillId="9" borderId="32" applyNumberFormat="0" applyFont="0" applyAlignment="0" applyProtection="0"/>
    <xf numFmtId="0" fontId="28" fillId="9" borderId="32" applyNumberFormat="0" applyFont="0" applyAlignment="0" applyProtection="0"/>
    <xf numFmtId="0" fontId="29" fillId="9" borderId="32" applyNumberFormat="0" applyFont="0" applyAlignment="0" applyProtection="0"/>
    <xf numFmtId="0" fontId="29" fillId="9" borderId="32" applyNumberFormat="0" applyFont="0" applyAlignment="0" applyProtection="0"/>
    <xf numFmtId="0" fontId="28" fillId="9" borderId="32" applyNumberFormat="0" applyFont="0" applyAlignment="0" applyProtection="0"/>
    <xf numFmtId="0" fontId="29" fillId="9" borderId="32" applyNumberFormat="0" applyFont="0" applyAlignment="0" applyProtection="0"/>
    <xf numFmtId="0" fontId="29" fillId="9" borderId="32" applyNumberFormat="0" applyFont="0" applyAlignment="0" applyProtection="0"/>
    <xf numFmtId="0" fontId="28" fillId="9" borderId="32" applyNumberFormat="0" applyFont="0" applyAlignment="0" applyProtection="0"/>
    <xf numFmtId="0" fontId="29" fillId="9" borderId="32" applyNumberFormat="0" applyFont="0" applyAlignment="0" applyProtection="0"/>
    <xf numFmtId="0" fontId="29" fillId="9" borderId="32" applyNumberFormat="0" applyFont="0" applyAlignment="0" applyProtection="0"/>
    <xf numFmtId="0" fontId="29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9" fillId="9" borderId="32" applyNumberFormat="0" applyFont="0" applyAlignment="0" applyProtection="0"/>
    <xf numFmtId="0" fontId="28" fillId="9" borderId="32" applyNumberFormat="0" applyFont="0" applyAlignment="0" applyProtection="0"/>
    <xf numFmtId="0" fontId="29" fillId="9" borderId="32" applyNumberFormat="0" applyFont="0" applyAlignment="0" applyProtection="0"/>
    <xf numFmtId="0" fontId="29" fillId="9" borderId="32" applyNumberFormat="0" applyFont="0" applyAlignment="0" applyProtection="0"/>
    <xf numFmtId="0" fontId="28" fillId="9" borderId="32" applyNumberFormat="0" applyFont="0" applyAlignment="0" applyProtection="0"/>
    <xf numFmtId="0" fontId="29" fillId="9" borderId="32" applyNumberFormat="0" applyFont="0" applyAlignment="0" applyProtection="0"/>
    <xf numFmtId="0" fontId="29" fillId="9" borderId="32" applyNumberFormat="0" applyFont="0" applyAlignment="0" applyProtection="0"/>
    <xf numFmtId="0" fontId="28" fillId="9" borderId="32" applyNumberFormat="0" applyFont="0" applyAlignment="0" applyProtection="0"/>
    <xf numFmtId="0" fontId="29" fillId="9" borderId="32" applyNumberFormat="0" applyFont="0" applyAlignment="0" applyProtection="0"/>
    <xf numFmtId="0" fontId="29" fillId="9" borderId="32" applyNumberFormat="0" applyFont="0" applyAlignment="0" applyProtection="0"/>
    <xf numFmtId="0" fontId="28" fillId="9" borderId="32" applyNumberFormat="0" applyFont="0" applyAlignment="0" applyProtection="0"/>
    <xf numFmtId="0" fontId="29" fillId="9" borderId="32" applyNumberFormat="0" applyFont="0" applyAlignment="0" applyProtection="0"/>
    <xf numFmtId="0" fontId="29" fillId="9" borderId="32" applyNumberFormat="0" applyFont="0" applyAlignment="0" applyProtection="0"/>
    <xf numFmtId="0" fontId="28" fillId="9" borderId="32" applyNumberFormat="0" applyFont="0" applyAlignment="0" applyProtection="0"/>
    <xf numFmtId="0" fontId="29" fillId="9" borderId="32" applyNumberFormat="0" applyFont="0" applyAlignment="0" applyProtection="0"/>
    <xf numFmtId="0" fontId="29" fillId="9" borderId="32" applyNumberFormat="0" applyFont="0" applyAlignment="0" applyProtection="0"/>
    <xf numFmtId="0" fontId="29" fillId="9" borderId="32" applyNumberFormat="0" applyFont="0" applyAlignment="0" applyProtection="0"/>
    <xf numFmtId="0" fontId="29" fillId="9" borderId="32" applyNumberFormat="0" applyFont="0" applyAlignment="0" applyProtection="0"/>
    <xf numFmtId="0" fontId="29" fillId="9" borderId="32" applyNumberFormat="0" applyFont="0" applyAlignment="0" applyProtection="0"/>
    <xf numFmtId="0" fontId="29" fillId="9" borderId="32" applyNumberFormat="0" applyFont="0" applyAlignment="0" applyProtection="0"/>
    <xf numFmtId="0" fontId="29" fillId="9" borderId="32" applyNumberFormat="0" applyFont="0" applyAlignment="0" applyProtection="0"/>
    <xf numFmtId="0" fontId="29" fillId="9" borderId="32" applyNumberFormat="0" applyFont="0" applyAlignment="0" applyProtection="0"/>
    <xf numFmtId="0" fontId="29" fillId="9" borderId="32" applyNumberFormat="0" applyFont="0" applyAlignment="0" applyProtection="0"/>
    <xf numFmtId="0" fontId="29" fillId="9" borderId="32" applyNumberFormat="0" applyFont="0" applyAlignment="0" applyProtection="0"/>
    <xf numFmtId="0" fontId="29" fillId="9" borderId="32" applyNumberFormat="0" applyFont="0" applyAlignment="0" applyProtection="0"/>
    <xf numFmtId="0" fontId="29" fillId="9" borderId="32" applyNumberFormat="0" applyFont="0" applyAlignment="0" applyProtection="0"/>
    <xf numFmtId="0" fontId="29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9" fillId="9" borderId="32" applyNumberFormat="0" applyFont="0" applyAlignment="0" applyProtection="0"/>
    <xf numFmtId="0" fontId="28" fillId="9" borderId="32" applyNumberFormat="0" applyFont="0" applyAlignment="0" applyProtection="0"/>
    <xf numFmtId="0" fontId="29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9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28" fillId="9" borderId="32" applyNumberFormat="0" applyFont="0" applyAlignment="0" applyProtection="0"/>
    <xf numFmtId="0" fontId="77" fillId="13" borderId="33" applyNumberFormat="0" applyAlignment="0" applyProtection="0"/>
    <xf numFmtId="0" fontId="77" fillId="13" borderId="33" applyNumberFormat="0" applyAlignment="0" applyProtection="0"/>
    <xf numFmtId="0" fontId="77" fillId="13" borderId="33" applyNumberFormat="0" applyAlignment="0" applyProtection="0"/>
    <xf numFmtId="0" fontId="77" fillId="13" borderId="33" applyNumberFormat="0" applyAlignment="0" applyProtection="0"/>
    <xf numFmtId="0" fontId="77" fillId="13" borderId="33" applyNumberFormat="0" applyAlignment="0" applyProtection="0"/>
    <xf numFmtId="0" fontId="77" fillId="13" borderId="33" applyNumberFormat="0" applyAlignment="0" applyProtection="0"/>
    <xf numFmtId="0" fontId="77" fillId="13" borderId="33" applyNumberFormat="0" applyAlignment="0" applyProtection="0"/>
    <xf numFmtId="0" fontId="77" fillId="13" borderId="33" applyNumberFormat="0" applyAlignment="0" applyProtection="0"/>
    <xf numFmtId="0" fontId="77" fillId="13" borderId="33" applyNumberFormat="0" applyAlignment="0" applyProtection="0"/>
    <xf numFmtId="0" fontId="77" fillId="13" borderId="33" applyNumberFormat="0" applyAlignment="0" applyProtection="0"/>
    <xf numFmtId="0" fontId="77" fillId="13" borderId="33" applyNumberFormat="0" applyAlignment="0" applyProtection="0"/>
    <xf numFmtId="0" fontId="77" fillId="13" borderId="33" applyNumberFormat="0" applyAlignment="0" applyProtection="0"/>
    <xf numFmtId="0" fontId="77" fillId="5" borderId="33" applyNumberFormat="0" applyAlignment="0" applyProtection="0"/>
    <xf numFmtId="0" fontId="77" fillId="5" borderId="33" applyNumberFormat="0" applyAlignment="0" applyProtection="0"/>
    <xf numFmtId="0" fontId="77" fillId="5" borderId="33" applyNumberFormat="0" applyAlignment="0" applyProtection="0"/>
    <xf numFmtId="0" fontId="77" fillId="5" borderId="33" applyNumberFormat="0" applyAlignment="0" applyProtection="0"/>
    <xf numFmtId="0" fontId="77" fillId="5" borderId="33" applyNumberFormat="0" applyAlignment="0" applyProtection="0"/>
    <xf numFmtId="0" fontId="77" fillId="5" borderId="33" applyNumberFormat="0" applyAlignment="0" applyProtection="0"/>
    <xf numFmtId="0" fontId="77" fillId="13" borderId="33" applyNumberFormat="0" applyAlignment="0" applyProtection="0"/>
    <xf numFmtId="0" fontId="77" fillId="13" borderId="33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2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8" fillId="47" borderId="34" applyNumberFormat="0" applyFont="0" applyFill="0" applyAlignment="0" applyProtection="0">
      <alignment horizontal="center"/>
    </xf>
    <xf numFmtId="0" fontId="78" fillId="47" borderId="34" applyNumberFormat="0" applyFont="0" applyFill="0" applyAlignment="0" applyProtection="0">
      <alignment horizontal="center"/>
    </xf>
    <xf numFmtId="0" fontId="78" fillId="47" borderId="34" applyNumberFormat="0" applyFont="0" applyFill="0" applyAlignment="0" applyProtection="0">
      <alignment horizontal="center"/>
    </xf>
    <xf numFmtId="0" fontId="78" fillId="47" borderId="34" applyNumberFormat="0" applyFont="0" applyFill="0" applyAlignment="0" applyProtection="0">
      <alignment horizontal="center"/>
    </xf>
    <xf numFmtId="0" fontId="78" fillId="47" borderId="34" applyNumberFormat="0" applyFont="0" applyFill="0" applyAlignment="0" applyProtection="0">
      <alignment horizontal="center"/>
    </xf>
    <xf numFmtId="0" fontId="78" fillId="47" borderId="34" applyNumberFormat="0" applyFont="0" applyFill="0" applyAlignment="0" applyProtection="0">
      <alignment horizontal="center"/>
    </xf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4" fontId="81" fillId="49" borderId="33" applyNumberFormat="0" applyProtection="0">
      <alignment vertical="center"/>
    </xf>
    <xf numFmtId="4" fontId="81" fillId="49" borderId="33" applyNumberFormat="0" applyProtection="0">
      <alignment vertical="center"/>
    </xf>
    <xf numFmtId="4" fontId="82" fillId="49" borderId="35" applyNumberFormat="0" applyProtection="0">
      <alignment vertical="center"/>
    </xf>
    <xf numFmtId="4" fontId="83" fillId="49" borderId="33" applyNumberFormat="0" applyProtection="0">
      <alignment vertical="center"/>
    </xf>
    <xf numFmtId="4" fontId="83" fillId="49" borderId="33" applyNumberFormat="0" applyProtection="0">
      <alignment vertical="center"/>
    </xf>
    <xf numFmtId="4" fontId="84" fillId="49" borderId="35" applyNumberFormat="0" applyProtection="0">
      <alignment vertical="center"/>
    </xf>
    <xf numFmtId="4" fontId="81" fillId="49" borderId="33" applyNumberFormat="0" applyProtection="0">
      <alignment horizontal="left" vertical="center" indent="1"/>
    </xf>
    <xf numFmtId="4" fontId="81" fillId="49" borderId="33" applyNumberFormat="0" applyProtection="0">
      <alignment horizontal="left" vertical="center" indent="1"/>
    </xf>
    <xf numFmtId="4" fontId="85" fillId="49" borderId="35" applyNumberFormat="0" applyProtection="0">
      <alignment horizontal="left" vertical="center" indent="1"/>
    </xf>
    <xf numFmtId="4" fontId="81" fillId="49" borderId="33" applyNumberFormat="0" applyProtection="0">
      <alignment horizontal="left" vertical="center" indent="1"/>
    </xf>
    <xf numFmtId="4" fontId="81" fillId="49" borderId="33" applyNumberFormat="0" applyProtection="0">
      <alignment horizontal="left" vertical="center" indent="1"/>
    </xf>
    <xf numFmtId="0" fontId="28" fillId="50" borderId="33" applyNumberFormat="0" applyProtection="0">
      <alignment horizontal="left" vertical="center" indent="1"/>
    </xf>
    <xf numFmtId="0" fontId="28" fillId="50" borderId="33" applyNumberFormat="0" applyProtection="0">
      <alignment horizontal="left" vertical="center" indent="1"/>
    </xf>
    <xf numFmtId="0" fontId="28" fillId="50" borderId="33" applyNumberFormat="0" applyProtection="0">
      <alignment horizontal="left" vertical="center" indent="1"/>
    </xf>
    <xf numFmtId="4" fontId="85" fillId="51" borderId="0" applyNumberFormat="0" applyProtection="0">
      <alignment horizontal="left" vertical="center" indent="1"/>
    </xf>
    <xf numFmtId="0" fontId="28" fillId="50" borderId="33" applyNumberFormat="0" applyProtection="0">
      <alignment horizontal="left" vertical="center" indent="1"/>
    </xf>
    <xf numFmtId="0" fontId="28" fillId="50" borderId="33" applyNumberFormat="0" applyProtection="0">
      <alignment horizontal="left" vertical="center" indent="1"/>
    </xf>
    <xf numFmtId="4" fontId="85" fillId="44" borderId="0" applyNumberFormat="0" applyProtection="0">
      <alignment horizontal="left" vertical="center" indent="1"/>
    </xf>
    <xf numFmtId="0" fontId="28" fillId="50" borderId="33" applyNumberFormat="0" applyProtection="0">
      <alignment horizontal="left" vertical="center" indent="1"/>
    </xf>
    <xf numFmtId="4" fontId="85" fillId="51" borderId="0" applyNumberFormat="0" applyProtection="0">
      <alignment horizontal="left" vertical="center" indent="1"/>
    </xf>
    <xf numFmtId="4" fontId="81" fillId="37" borderId="33" applyNumberFormat="0" applyProtection="0">
      <alignment horizontal="right" vertical="center"/>
    </xf>
    <xf numFmtId="4" fontId="81" fillId="37" borderId="33" applyNumberFormat="0" applyProtection="0">
      <alignment horizontal="right" vertical="center"/>
    </xf>
    <xf numFmtId="4" fontId="85" fillId="52" borderId="35" applyNumberFormat="0" applyProtection="0">
      <alignment horizontal="right" vertical="center"/>
    </xf>
    <xf numFmtId="4" fontId="81" fillId="53" borderId="33" applyNumberFormat="0" applyProtection="0">
      <alignment horizontal="right" vertical="center"/>
    </xf>
    <xf numFmtId="4" fontId="81" fillId="53" borderId="33" applyNumberFormat="0" applyProtection="0">
      <alignment horizontal="right" vertical="center"/>
    </xf>
    <xf numFmtId="4" fontId="85" fillId="37" borderId="35" applyNumberFormat="0" applyProtection="0">
      <alignment horizontal="right" vertical="center"/>
    </xf>
    <xf numFmtId="4" fontId="81" fillId="52" borderId="33" applyNumberFormat="0" applyProtection="0">
      <alignment horizontal="right" vertical="center"/>
    </xf>
    <xf numFmtId="4" fontId="81" fillId="52" borderId="33" applyNumberFormat="0" applyProtection="0">
      <alignment horizontal="right" vertical="center"/>
    </xf>
    <xf numFmtId="4" fontId="85" fillId="53" borderId="35" applyNumberFormat="0" applyProtection="0">
      <alignment horizontal="right" vertical="center"/>
    </xf>
    <xf numFmtId="4" fontId="81" fillId="54" borderId="33" applyNumberFormat="0" applyProtection="0">
      <alignment horizontal="right" vertical="center"/>
    </xf>
    <xf numFmtId="4" fontId="81" fillId="54" borderId="33" applyNumberFormat="0" applyProtection="0">
      <alignment horizontal="right" vertical="center"/>
    </xf>
    <xf numFmtId="4" fontId="85" fillId="55" borderId="35" applyNumberFormat="0" applyProtection="0">
      <alignment horizontal="right" vertical="center"/>
    </xf>
    <xf numFmtId="4" fontId="81" fillId="56" borderId="33" applyNumberFormat="0" applyProtection="0">
      <alignment horizontal="right" vertical="center"/>
    </xf>
    <xf numFmtId="4" fontId="81" fillId="56" borderId="33" applyNumberFormat="0" applyProtection="0">
      <alignment horizontal="right" vertical="center"/>
    </xf>
    <xf numFmtId="4" fontId="85" fillId="54" borderId="35" applyNumberFormat="0" applyProtection="0">
      <alignment horizontal="right" vertical="center"/>
    </xf>
    <xf numFmtId="4" fontId="81" fillId="57" borderId="33" applyNumberFormat="0" applyProtection="0">
      <alignment horizontal="right" vertical="center"/>
    </xf>
    <xf numFmtId="4" fontId="81" fillId="57" borderId="33" applyNumberFormat="0" applyProtection="0">
      <alignment horizontal="right" vertical="center"/>
    </xf>
    <xf numFmtId="4" fontId="85" fillId="58" borderId="35" applyNumberFormat="0" applyProtection="0">
      <alignment horizontal="right" vertical="center"/>
    </xf>
    <xf numFmtId="4" fontId="81" fillId="59" borderId="33" applyNumberFormat="0" applyProtection="0">
      <alignment horizontal="right" vertical="center"/>
    </xf>
    <xf numFmtId="4" fontId="81" fillId="59" borderId="33" applyNumberFormat="0" applyProtection="0">
      <alignment horizontal="right" vertical="center"/>
    </xf>
    <xf numFmtId="4" fontId="85" fillId="60" borderId="35" applyNumberFormat="0" applyProtection="0">
      <alignment horizontal="right" vertical="center"/>
    </xf>
    <xf numFmtId="4" fontId="81" fillId="60" borderId="33" applyNumberFormat="0" applyProtection="0">
      <alignment horizontal="right" vertical="center"/>
    </xf>
    <xf numFmtId="4" fontId="81" fillId="60" borderId="33" applyNumberFormat="0" applyProtection="0">
      <alignment horizontal="right" vertical="center"/>
    </xf>
    <xf numFmtId="4" fontId="85" fillId="59" borderId="35" applyNumberFormat="0" applyProtection="0">
      <alignment horizontal="right" vertical="center"/>
    </xf>
    <xf numFmtId="4" fontId="81" fillId="45" borderId="33" applyNumberFormat="0" applyProtection="0">
      <alignment horizontal="right" vertical="center"/>
    </xf>
    <xf numFmtId="4" fontId="81" fillId="45" borderId="33" applyNumberFormat="0" applyProtection="0">
      <alignment horizontal="right" vertical="center"/>
    </xf>
    <xf numFmtId="4" fontId="85" fillId="61" borderId="35" applyNumberFormat="0" applyProtection="0">
      <alignment horizontal="right" vertical="center"/>
    </xf>
    <xf numFmtId="4" fontId="86" fillId="62" borderId="33" applyNumberFormat="0" applyProtection="0">
      <alignment horizontal="left" vertical="center" indent="1"/>
    </xf>
    <xf numFmtId="4" fontId="86" fillId="62" borderId="33" applyNumberFormat="0" applyProtection="0">
      <alignment horizontal="left" vertical="center" indent="1"/>
    </xf>
    <xf numFmtId="4" fontId="82" fillId="63" borderId="36" applyNumberFormat="0" applyProtection="0">
      <alignment horizontal="left" vertical="center" indent="1"/>
    </xf>
    <xf numFmtId="4" fontId="82" fillId="63" borderId="36" applyNumberFormat="0" applyProtection="0">
      <alignment horizontal="left" vertical="center" indent="1"/>
    </xf>
    <xf numFmtId="4" fontId="86" fillId="62" borderId="33" applyNumberFormat="0" applyProtection="0">
      <alignment horizontal="left" vertical="center" indent="1"/>
    </xf>
    <xf numFmtId="4" fontId="81" fillId="64" borderId="37" applyNumberFormat="0" applyProtection="0">
      <alignment horizontal="left" vertical="center" indent="1"/>
    </xf>
    <xf numFmtId="4" fontId="81" fillId="64" borderId="37" applyNumberFormat="0" applyProtection="0">
      <alignment horizontal="left" vertical="center" indent="1"/>
    </xf>
    <xf numFmtId="4" fontId="82" fillId="65" borderId="0" applyNumberFormat="0" applyProtection="0">
      <alignment horizontal="left" vertical="center" indent="1"/>
    </xf>
    <xf numFmtId="4" fontId="82" fillId="65" borderId="0" applyNumberFormat="0" applyProtection="0">
      <alignment horizontal="left" vertical="center" indent="1"/>
    </xf>
    <xf numFmtId="4" fontId="81" fillId="64" borderId="37" applyNumberFormat="0" applyProtection="0">
      <alignment horizontal="left" vertical="center" indent="1"/>
    </xf>
    <xf numFmtId="4" fontId="82" fillId="44" borderId="0" applyNumberFormat="0" applyProtection="0">
      <alignment horizontal="left" vertical="center" indent="1"/>
    </xf>
    <xf numFmtId="4" fontId="82" fillId="44" borderId="0" applyNumberFormat="0" applyProtection="0">
      <alignment horizontal="left" vertical="center" indent="1"/>
    </xf>
    <xf numFmtId="4" fontId="82" fillId="44" borderId="0" applyNumberFormat="0" applyProtection="0">
      <alignment horizontal="left" vertical="center" indent="1"/>
    </xf>
    <xf numFmtId="4" fontId="82" fillId="44" borderId="0" applyNumberFormat="0" applyProtection="0">
      <alignment horizontal="left" vertical="center" indent="1"/>
    </xf>
    <xf numFmtId="0" fontId="28" fillId="50" borderId="33" applyNumberFormat="0" applyProtection="0">
      <alignment horizontal="left" vertical="center" indent="1"/>
    </xf>
    <xf numFmtId="0" fontId="28" fillId="50" borderId="33" applyNumberFormat="0" applyProtection="0">
      <alignment horizontal="left" vertical="center" indent="1"/>
    </xf>
    <xf numFmtId="0" fontId="28" fillId="50" borderId="33" applyNumberFormat="0" applyProtection="0">
      <alignment horizontal="left" vertical="center" indent="1"/>
    </xf>
    <xf numFmtId="0" fontId="28" fillId="50" borderId="33" applyNumberFormat="0" applyProtection="0">
      <alignment horizontal="left" vertical="center" indent="1"/>
    </xf>
    <xf numFmtId="0" fontId="28" fillId="50" borderId="33" applyNumberFormat="0" applyProtection="0">
      <alignment horizontal="left" vertical="center" indent="1"/>
    </xf>
    <xf numFmtId="4" fontId="85" fillId="65" borderId="35" applyNumberFormat="0" applyProtection="0">
      <alignment horizontal="right" vertical="center"/>
    </xf>
    <xf numFmtId="0" fontId="28" fillId="50" borderId="33" applyNumberFormat="0" applyProtection="0">
      <alignment horizontal="left" vertical="center" indent="1"/>
    </xf>
    <xf numFmtId="4" fontId="81" fillId="64" borderId="33" applyNumberFormat="0" applyProtection="0">
      <alignment horizontal="left" vertical="center" indent="1"/>
    </xf>
    <xf numFmtId="4" fontId="81" fillId="64" borderId="33" applyNumberFormat="0" applyProtection="0">
      <alignment horizontal="left" vertical="center" indent="1"/>
    </xf>
    <xf numFmtId="4" fontId="81" fillId="64" borderId="33" applyNumberFormat="0" applyProtection="0">
      <alignment horizontal="left" vertical="center" indent="1"/>
    </xf>
    <xf numFmtId="4" fontId="81" fillId="64" borderId="33" applyNumberFormat="0" applyProtection="0">
      <alignment horizontal="left" vertical="center" indent="1"/>
    </xf>
    <xf numFmtId="4" fontId="81" fillId="64" borderId="33" applyNumberFormat="0" applyProtection="0">
      <alignment horizontal="left" vertical="center" indent="1"/>
    </xf>
    <xf numFmtId="4" fontId="81" fillId="65" borderId="0" applyNumberFormat="0" applyProtection="0">
      <alignment horizontal="left" vertical="center" indent="1"/>
    </xf>
    <xf numFmtId="4" fontId="81" fillId="64" borderId="33" applyNumberFormat="0" applyProtection="0">
      <alignment horizontal="left" vertical="center" indent="1"/>
    </xf>
    <xf numFmtId="4" fontId="81" fillId="66" borderId="33" applyNumberFormat="0" applyProtection="0">
      <alignment horizontal="left" vertical="center" indent="1"/>
    </xf>
    <xf numFmtId="4" fontId="81" fillId="66" borderId="33" applyNumberFormat="0" applyProtection="0">
      <alignment horizontal="left" vertical="center" indent="1"/>
    </xf>
    <xf numFmtId="4" fontId="81" fillId="66" borderId="33" applyNumberFormat="0" applyProtection="0">
      <alignment horizontal="left" vertical="center" indent="1"/>
    </xf>
    <xf numFmtId="4" fontId="81" fillId="66" borderId="33" applyNumberFormat="0" applyProtection="0">
      <alignment horizontal="left" vertical="center" indent="1"/>
    </xf>
    <xf numFmtId="4" fontId="81" fillId="66" borderId="33" applyNumberFormat="0" applyProtection="0">
      <alignment horizontal="left" vertical="center" indent="1"/>
    </xf>
    <xf numFmtId="4" fontId="81" fillId="44" borderId="0" applyNumberFormat="0" applyProtection="0">
      <alignment horizontal="left" vertical="center" indent="1"/>
    </xf>
    <xf numFmtId="4" fontId="81" fillId="66" borderId="33" applyNumberFormat="0" applyProtection="0">
      <alignment horizontal="left" vertical="center" indent="1"/>
    </xf>
    <xf numFmtId="0" fontId="28" fillId="66" borderId="33" applyNumberFormat="0" applyProtection="0">
      <alignment horizontal="left" vertical="center" indent="1"/>
    </xf>
    <xf numFmtId="0" fontId="28" fillId="66" borderId="33" applyNumberFormat="0" applyProtection="0">
      <alignment horizontal="left" vertical="center" indent="1"/>
    </xf>
    <xf numFmtId="0" fontId="28" fillId="66" borderId="33" applyNumberFormat="0" applyProtection="0">
      <alignment horizontal="left" vertical="center" indent="1"/>
    </xf>
    <xf numFmtId="0" fontId="28" fillId="66" borderId="33" applyNumberFormat="0" applyProtection="0">
      <alignment horizontal="left" vertical="center" indent="1"/>
    </xf>
    <xf numFmtId="0" fontId="28" fillId="66" borderId="33" applyNumberFormat="0" applyProtection="0">
      <alignment horizontal="left" vertical="center" indent="1"/>
    </xf>
    <xf numFmtId="0" fontId="28" fillId="66" borderId="33" applyNumberFormat="0" applyProtection="0">
      <alignment horizontal="left" vertical="center" indent="1"/>
    </xf>
    <xf numFmtId="0" fontId="28" fillId="66" borderId="33" applyNumberFormat="0" applyProtection="0">
      <alignment horizontal="left" vertical="center" indent="1"/>
    </xf>
    <xf numFmtId="0" fontId="28" fillId="66" borderId="33" applyNumberFormat="0" applyProtection="0">
      <alignment horizontal="left" vertical="center" indent="1"/>
    </xf>
    <xf numFmtId="0" fontId="28" fillId="66" borderId="33" applyNumberFormat="0" applyProtection="0">
      <alignment horizontal="left" vertical="center" indent="1"/>
    </xf>
    <xf numFmtId="0" fontId="28" fillId="66" borderId="33" applyNumberFormat="0" applyProtection="0">
      <alignment horizontal="left" vertical="center" indent="1"/>
    </xf>
    <xf numFmtId="0" fontId="28" fillId="66" borderId="33" applyNumberFormat="0" applyProtection="0">
      <alignment horizontal="left" vertical="center" indent="1"/>
    </xf>
    <xf numFmtId="0" fontId="28" fillId="66" borderId="33" applyNumberFormat="0" applyProtection="0">
      <alignment horizontal="left" vertical="center" indent="1"/>
    </xf>
    <xf numFmtId="0" fontId="28" fillId="67" borderId="33" applyNumberFormat="0" applyProtection="0">
      <alignment horizontal="left" vertical="center" indent="1"/>
    </xf>
    <xf numFmtId="0" fontId="28" fillId="67" borderId="33" applyNumberFormat="0" applyProtection="0">
      <alignment horizontal="left" vertical="center" indent="1"/>
    </xf>
    <xf numFmtId="0" fontId="28" fillId="67" borderId="33" applyNumberFormat="0" applyProtection="0">
      <alignment horizontal="left" vertical="center" indent="1"/>
    </xf>
    <xf numFmtId="0" fontId="28" fillId="67" borderId="33" applyNumberFormat="0" applyProtection="0">
      <alignment horizontal="left" vertical="center" indent="1"/>
    </xf>
    <xf numFmtId="0" fontId="28" fillId="67" borderId="33" applyNumberFormat="0" applyProtection="0">
      <alignment horizontal="left" vertical="center" indent="1"/>
    </xf>
    <xf numFmtId="0" fontId="28" fillId="67" borderId="33" applyNumberFormat="0" applyProtection="0">
      <alignment horizontal="left" vertical="center" indent="1"/>
    </xf>
    <xf numFmtId="0" fontId="28" fillId="67" borderId="33" applyNumberFormat="0" applyProtection="0">
      <alignment horizontal="left" vertical="center" indent="1"/>
    </xf>
    <xf numFmtId="0" fontId="28" fillId="67" borderId="33" applyNumberFormat="0" applyProtection="0">
      <alignment horizontal="left" vertical="center" indent="1"/>
    </xf>
    <xf numFmtId="0" fontId="28" fillId="67" borderId="33" applyNumberFormat="0" applyProtection="0">
      <alignment horizontal="left" vertical="center" indent="1"/>
    </xf>
    <xf numFmtId="0" fontId="28" fillId="67" borderId="33" applyNumberFormat="0" applyProtection="0">
      <alignment horizontal="left" vertical="center" indent="1"/>
    </xf>
    <xf numFmtId="0" fontId="28" fillId="67" borderId="33" applyNumberFormat="0" applyProtection="0">
      <alignment horizontal="left" vertical="center" indent="1"/>
    </xf>
    <xf numFmtId="0" fontId="28" fillId="67" borderId="33" applyNumberFormat="0" applyProtection="0">
      <alignment horizontal="left" vertical="center" indent="1"/>
    </xf>
    <xf numFmtId="0" fontId="28" fillId="68" borderId="33" applyNumberFormat="0" applyProtection="0">
      <alignment horizontal="left" vertical="center" indent="1"/>
    </xf>
    <xf numFmtId="0" fontId="28" fillId="68" borderId="33" applyNumberFormat="0" applyProtection="0">
      <alignment horizontal="left" vertical="center" indent="1"/>
    </xf>
    <xf numFmtId="0" fontId="28" fillId="68" borderId="33" applyNumberFormat="0" applyProtection="0">
      <alignment horizontal="left" vertical="center" indent="1"/>
    </xf>
    <xf numFmtId="0" fontId="28" fillId="68" borderId="33" applyNumberFormat="0" applyProtection="0">
      <alignment horizontal="left" vertical="center" indent="1"/>
    </xf>
    <xf numFmtId="0" fontId="28" fillId="68" borderId="33" applyNumberFormat="0" applyProtection="0">
      <alignment horizontal="left" vertical="center" indent="1"/>
    </xf>
    <xf numFmtId="0" fontId="28" fillId="68" borderId="33" applyNumberFormat="0" applyProtection="0">
      <alignment horizontal="left" vertical="center" indent="1"/>
    </xf>
    <xf numFmtId="0" fontId="28" fillId="68" borderId="33" applyNumberFormat="0" applyProtection="0">
      <alignment horizontal="left" vertical="center" indent="1"/>
    </xf>
    <xf numFmtId="0" fontId="28" fillId="68" borderId="33" applyNumberFormat="0" applyProtection="0">
      <alignment horizontal="left" vertical="center" indent="1"/>
    </xf>
    <xf numFmtId="0" fontId="28" fillId="68" borderId="33" applyNumberFormat="0" applyProtection="0">
      <alignment horizontal="left" vertical="center" indent="1"/>
    </xf>
    <xf numFmtId="0" fontId="28" fillId="68" borderId="33" applyNumberFormat="0" applyProtection="0">
      <alignment horizontal="left" vertical="center" indent="1"/>
    </xf>
    <xf numFmtId="0" fontId="28" fillId="68" borderId="33" applyNumberFormat="0" applyProtection="0">
      <alignment horizontal="left" vertical="center" indent="1"/>
    </xf>
    <xf numFmtId="0" fontId="28" fillId="68" borderId="33" applyNumberFormat="0" applyProtection="0">
      <alignment horizontal="left" vertical="center" indent="1"/>
    </xf>
    <xf numFmtId="0" fontId="28" fillId="50" borderId="33" applyNumberFormat="0" applyProtection="0">
      <alignment horizontal="left" vertical="center" indent="1"/>
    </xf>
    <xf numFmtId="0" fontId="28" fillId="50" borderId="33" applyNumberFormat="0" applyProtection="0">
      <alignment horizontal="left" vertical="center" indent="1"/>
    </xf>
    <xf numFmtId="0" fontId="28" fillId="50" borderId="33" applyNumberFormat="0" applyProtection="0">
      <alignment horizontal="left" vertical="center" indent="1"/>
    </xf>
    <xf numFmtId="0" fontId="28" fillId="50" borderId="33" applyNumberFormat="0" applyProtection="0">
      <alignment horizontal="left" vertical="center" indent="1"/>
    </xf>
    <xf numFmtId="0" fontId="28" fillId="50" borderId="33" applyNumberFormat="0" applyProtection="0">
      <alignment horizontal="left" vertical="center" indent="1"/>
    </xf>
    <xf numFmtId="0" fontId="28" fillId="50" borderId="33" applyNumberFormat="0" applyProtection="0">
      <alignment horizontal="left" vertical="center" indent="1"/>
    </xf>
    <xf numFmtId="0" fontId="28" fillId="50" borderId="33" applyNumberFormat="0" applyProtection="0">
      <alignment horizontal="left" vertical="center" indent="1"/>
    </xf>
    <xf numFmtId="0" fontId="28" fillId="50" borderId="33" applyNumberFormat="0" applyProtection="0">
      <alignment horizontal="left" vertical="center" indent="1"/>
    </xf>
    <xf numFmtId="0" fontId="28" fillId="50" borderId="33" applyNumberFormat="0" applyProtection="0">
      <alignment horizontal="left" vertical="center" indent="1"/>
    </xf>
    <xf numFmtId="0" fontId="28" fillId="50" borderId="33" applyNumberFormat="0" applyProtection="0">
      <alignment horizontal="left" vertical="center" indent="1"/>
    </xf>
    <xf numFmtId="0" fontId="28" fillId="50" borderId="33" applyNumberFormat="0" applyProtection="0">
      <alignment horizontal="left" vertical="center" indent="1"/>
    </xf>
    <xf numFmtId="0" fontId="28" fillId="50" borderId="33" applyNumberFormat="0" applyProtection="0">
      <alignment horizontal="left" vertical="center" indent="1"/>
    </xf>
    <xf numFmtId="0" fontId="28" fillId="5" borderId="19" applyNumberFormat="0">
      <protection locked="0"/>
    </xf>
    <xf numFmtId="0" fontId="87" fillId="34" borderId="38" applyBorder="0"/>
    <xf numFmtId="4" fontId="81" fillId="46" borderId="33" applyNumberFormat="0" applyProtection="0">
      <alignment vertical="center"/>
    </xf>
    <xf numFmtId="4" fontId="81" fillId="46" borderId="33" applyNumberFormat="0" applyProtection="0">
      <alignment vertical="center"/>
    </xf>
    <xf numFmtId="4" fontId="85" fillId="69" borderId="35" applyNumberFormat="0" applyProtection="0">
      <alignment vertical="center"/>
    </xf>
    <xf numFmtId="4" fontId="83" fillId="46" borderId="33" applyNumberFormat="0" applyProtection="0">
      <alignment vertical="center"/>
    </xf>
    <xf numFmtId="4" fontId="83" fillId="46" borderId="33" applyNumberFormat="0" applyProtection="0">
      <alignment vertical="center"/>
    </xf>
    <xf numFmtId="4" fontId="88" fillId="69" borderId="35" applyNumberFormat="0" applyProtection="0">
      <alignment vertical="center"/>
    </xf>
    <xf numFmtId="4" fontId="81" fillId="46" borderId="33" applyNumberFormat="0" applyProtection="0">
      <alignment horizontal="left" vertical="center" indent="1"/>
    </xf>
    <xf numFmtId="4" fontId="81" fillId="46" borderId="33" applyNumberFormat="0" applyProtection="0">
      <alignment horizontal="left" vertical="center" indent="1"/>
    </xf>
    <xf numFmtId="4" fontId="82" fillId="65" borderId="39" applyNumberFormat="0" applyProtection="0">
      <alignment horizontal="left" vertical="center" indent="1"/>
    </xf>
    <xf numFmtId="4" fontId="81" fillId="46" borderId="33" applyNumberFormat="0" applyProtection="0">
      <alignment horizontal="left" vertical="center" indent="1"/>
    </xf>
    <xf numFmtId="4" fontId="81" fillId="46" borderId="33" applyNumberFormat="0" applyProtection="0">
      <alignment horizontal="left" vertical="center" indent="1"/>
    </xf>
    <xf numFmtId="4" fontId="81" fillId="64" borderId="33" applyNumberFormat="0" applyProtection="0">
      <alignment horizontal="right" vertical="center"/>
    </xf>
    <xf numFmtId="4" fontId="81" fillId="64" borderId="33" applyNumberFormat="0" applyProtection="0">
      <alignment horizontal="right" vertical="center"/>
    </xf>
    <xf numFmtId="4" fontId="81" fillId="69" borderId="35" applyNumberFormat="0" applyProtection="0">
      <alignment horizontal="right" vertical="center"/>
    </xf>
    <xf numFmtId="4" fontId="85" fillId="69" borderId="35" applyNumberFormat="0" applyProtection="0">
      <alignment horizontal="right" vertical="center"/>
    </xf>
    <xf numFmtId="4" fontId="81" fillId="64" borderId="33" applyNumberFormat="0" applyProtection="0">
      <alignment horizontal="right" vertical="center"/>
    </xf>
    <xf numFmtId="4" fontId="81" fillId="69" borderId="35" applyNumberFormat="0" applyProtection="0">
      <alignment horizontal="right" vertical="center"/>
    </xf>
    <xf numFmtId="4" fontId="83" fillId="64" borderId="33" applyNumberFormat="0" applyProtection="0">
      <alignment horizontal="right" vertical="center"/>
    </xf>
    <xf numFmtId="4" fontId="83" fillId="64" borderId="33" applyNumberFormat="0" applyProtection="0">
      <alignment horizontal="right" vertical="center"/>
    </xf>
    <xf numFmtId="4" fontId="88" fillId="69" borderId="35" applyNumberFormat="0" applyProtection="0">
      <alignment horizontal="right" vertical="center"/>
    </xf>
    <xf numFmtId="0" fontId="28" fillId="50" borderId="33" applyNumberFormat="0" applyProtection="0">
      <alignment horizontal="left" vertical="center" indent="1"/>
    </xf>
    <xf numFmtId="0" fontId="28" fillId="50" borderId="33" applyNumberFormat="0" applyProtection="0">
      <alignment horizontal="left" vertical="center" indent="1"/>
    </xf>
    <xf numFmtId="0" fontId="28" fillId="50" borderId="33" applyNumberFormat="0" applyProtection="0">
      <alignment horizontal="left" vertical="center" indent="1"/>
    </xf>
    <xf numFmtId="4" fontId="28" fillId="65" borderId="35" applyNumberFormat="0" applyProtection="0">
      <alignment horizontal="left" vertical="center" indent="1"/>
    </xf>
    <xf numFmtId="0" fontId="28" fillId="50" borderId="33" applyNumberFormat="0" applyProtection="0">
      <alignment horizontal="left" vertical="center" indent="1"/>
    </xf>
    <xf numFmtId="0" fontId="28" fillId="50" borderId="33" applyNumberFormat="0" applyProtection="0">
      <alignment horizontal="left" vertical="center" indent="1"/>
    </xf>
    <xf numFmtId="4" fontId="82" fillId="65" borderId="35" applyNumberFormat="0" applyProtection="0">
      <alignment horizontal="left" vertical="center" indent="1"/>
    </xf>
    <xf numFmtId="0" fontId="28" fillId="50" borderId="33" applyNumberFormat="0" applyProtection="0">
      <alignment horizontal="left" vertical="center" indent="1"/>
    </xf>
    <xf numFmtId="4" fontId="28" fillId="70" borderId="0" applyNumberFormat="0" applyProtection="0">
      <alignment horizontal="left" vertical="center"/>
    </xf>
    <xf numFmtId="4" fontId="28" fillId="65" borderId="35" applyNumberFormat="0" applyProtection="0">
      <alignment horizontal="left" vertical="center" indent="1"/>
    </xf>
    <xf numFmtId="0" fontId="28" fillId="50" borderId="33" applyNumberFormat="0" applyProtection="0">
      <alignment horizontal="left" vertical="center" indent="1"/>
    </xf>
    <xf numFmtId="0" fontId="28" fillId="50" borderId="33" applyNumberFormat="0" applyProtection="0">
      <alignment horizontal="left" vertical="center" indent="1"/>
    </xf>
    <xf numFmtId="0" fontId="28" fillId="50" borderId="33" applyNumberFormat="0" applyProtection="0">
      <alignment horizontal="left" vertical="center" indent="1"/>
    </xf>
    <xf numFmtId="0" fontId="28" fillId="50" borderId="33" applyNumberFormat="0" applyProtection="0">
      <alignment horizontal="left" vertical="center" indent="1"/>
    </xf>
    <xf numFmtId="0" fontId="28" fillId="50" borderId="33" applyNumberFormat="0" applyProtection="0">
      <alignment horizontal="left" vertical="center" indent="1"/>
    </xf>
    <xf numFmtId="0" fontId="28" fillId="50" borderId="33" applyNumberFormat="0" applyProtection="0">
      <alignment horizontal="left" vertical="center" indent="1"/>
    </xf>
    <xf numFmtId="0" fontId="89" fillId="0" borderId="0"/>
    <xf numFmtId="0" fontId="89" fillId="0" borderId="0"/>
    <xf numFmtId="4" fontId="90" fillId="71" borderId="39" applyNumberFormat="0" applyProtection="0">
      <alignment horizontal="left" vertical="center" indent="1"/>
    </xf>
    <xf numFmtId="4" fontId="90" fillId="71" borderId="39" applyNumberFormat="0" applyProtection="0">
      <alignment horizontal="left" vertical="center" indent="1"/>
    </xf>
    <xf numFmtId="0" fontId="89" fillId="0" borderId="0"/>
    <xf numFmtId="0" fontId="89" fillId="0" borderId="0"/>
    <xf numFmtId="0" fontId="39" fillId="72" borderId="19"/>
    <xf numFmtId="4" fontId="91" fillId="64" borderId="33" applyNumberFormat="0" applyProtection="0">
      <alignment horizontal="right" vertical="center"/>
    </xf>
    <xf numFmtId="4" fontId="91" fillId="64" borderId="33" applyNumberFormat="0" applyProtection="0">
      <alignment horizontal="right" vertical="center"/>
    </xf>
    <xf numFmtId="4" fontId="92" fillId="69" borderId="35" applyNumberFormat="0" applyProtection="0">
      <alignment horizontal="right" vertical="center"/>
    </xf>
    <xf numFmtId="0" fontId="50" fillId="1" borderId="16" applyNumberFormat="0" applyFont="0" applyBorder="0" applyProtection="0">
      <alignment horizontal="left"/>
    </xf>
    <xf numFmtId="0" fontId="28" fillId="1" borderId="16" applyNumberFormat="0" applyFont="0" applyBorder="0" applyProtection="0">
      <alignment horizontal="left"/>
    </xf>
    <xf numFmtId="0" fontId="28" fillId="1" borderId="16" applyNumberFormat="0" applyFont="0" applyBorder="0" applyProtection="0">
      <alignment horizontal="left"/>
    </xf>
    <xf numFmtId="0" fontId="28" fillId="1" borderId="16" applyNumberFormat="0" applyFont="0" applyBorder="0" applyProtection="0">
      <alignment horizontal="left"/>
    </xf>
    <xf numFmtId="0" fontId="28" fillId="1" borderId="16" applyNumberFormat="0" applyFont="0" applyBorder="0" applyProtection="0">
      <alignment horizontal="left"/>
    </xf>
    <xf numFmtId="0" fontId="28" fillId="1" borderId="16" applyNumberFormat="0" applyFont="0" applyBorder="0" applyProtection="0">
      <alignment horizontal="left"/>
    </xf>
    <xf numFmtId="0" fontId="50" fillId="1" borderId="16" applyNumberFormat="0" applyFont="0" applyBorder="0" applyProtection="0">
      <alignment horizontal="left"/>
    </xf>
    <xf numFmtId="0" fontId="50" fillId="1" borderId="16" applyNumberFormat="0" applyFont="0" applyBorder="0" applyProtection="0">
      <alignment horizontal="left"/>
    </xf>
    <xf numFmtId="0" fontId="47" fillId="1" borderId="16" applyNumberFormat="0" applyFont="0" applyBorder="0" applyProtection="0">
      <alignment horizontal="left"/>
    </xf>
    <xf numFmtId="0" fontId="93" fillId="0" borderId="0" applyNumberFormat="0" applyFill="0" applyBorder="0" applyAlignment="0" applyProtection="0"/>
    <xf numFmtId="0" fontId="56" fillId="0" borderId="40"/>
    <xf numFmtId="181" fontId="28" fillId="0" borderId="0"/>
    <xf numFmtId="0" fontId="94" fillId="0" borderId="0">
      <alignment horizontal="left"/>
    </xf>
    <xf numFmtId="0" fontId="95" fillId="0" borderId="0">
      <alignment horizontal="left"/>
    </xf>
    <xf numFmtId="0" fontId="37" fillId="0" borderId="0"/>
    <xf numFmtId="0" fontId="37" fillId="0" borderId="0"/>
    <xf numFmtId="0" fontId="37" fillId="0" borderId="0"/>
    <xf numFmtId="0" fontId="37" fillId="0" borderId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52" fillId="0" borderId="41" applyNumberFormat="0" applyFill="0" applyAlignment="0" applyProtection="0"/>
    <xf numFmtId="0" fontId="52" fillId="0" borderId="41" applyNumberFormat="0" applyFill="0" applyAlignment="0" applyProtection="0"/>
    <xf numFmtId="0" fontId="52" fillId="0" borderId="41" applyNumberFormat="0" applyFill="0" applyAlignment="0" applyProtection="0"/>
    <xf numFmtId="0" fontId="52" fillId="0" borderId="41" applyNumberFormat="0" applyFill="0" applyAlignment="0" applyProtection="0"/>
    <xf numFmtId="0" fontId="52" fillId="0" borderId="41" applyNumberFormat="0" applyFill="0" applyAlignment="0" applyProtection="0"/>
    <xf numFmtId="0" fontId="52" fillId="0" borderId="41" applyNumberFormat="0" applyFill="0" applyAlignment="0" applyProtection="0"/>
    <xf numFmtId="0" fontId="52" fillId="0" borderId="41" applyNumberFormat="0" applyFill="0" applyAlignment="0" applyProtection="0"/>
    <xf numFmtId="0" fontId="52" fillId="0" borderId="41" applyNumberFormat="0" applyFill="0" applyAlignment="0" applyProtection="0"/>
    <xf numFmtId="0" fontId="52" fillId="0" borderId="41" applyNumberFormat="0" applyFill="0" applyAlignment="0" applyProtection="0"/>
    <xf numFmtId="0" fontId="52" fillId="0" borderId="41" applyNumberFormat="0" applyFill="0" applyAlignment="0" applyProtection="0"/>
    <xf numFmtId="0" fontId="52" fillId="0" borderId="41" applyNumberFormat="0" applyFill="0" applyAlignment="0" applyProtection="0"/>
    <xf numFmtId="0" fontId="52" fillId="0" borderId="41" applyNumberFormat="0" applyFill="0" applyAlignment="0" applyProtection="0"/>
    <xf numFmtId="0" fontId="52" fillId="0" borderId="42" applyNumberFormat="0" applyFill="0" applyAlignment="0" applyProtection="0"/>
    <xf numFmtId="0" fontId="52" fillId="0" borderId="42" applyNumberFormat="0" applyFill="0" applyAlignment="0" applyProtection="0"/>
    <xf numFmtId="0" fontId="52" fillId="0" borderId="42" applyNumberFormat="0" applyFill="0" applyAlignment="0" applyProtection="0"/>
    <xf numFmtId="0" fontId="52" fillId="0" borderId="42" applyNumberFormat="0" applyFill="0" applyAlignment="0" applyProtection="0"/>
    <xf numFmtId="0" fontId="52" fillId="0" borderId="42" applyNumberFormat="0" applyFill="0" applyAlignment="0" applyProtection="0"/>
    <xf numFmtId="0" fontId="52" fillId="0" borderId="42" applyNumberFormat="0" applyFill="0" applyAlignment="0" applyProtection="0"/>
    <xf numFmtId="0" fontId="52" fillId="0" borderId="41" applyNumberFormat="0" applyFill="0" applyAlignment="0" applyProtection="0"/>
    <xf numFmtId="0" fontId="52" fillId="0" borderId="41" applyNumberFormat="0" applyFill="0" applyAlignment="0" applyProtection="0"/>
    <xf numFmtId="0" fontId="50" fillId="0" borderId="1" applyProtection="0">
      <alignment horizontal="left"/>
    </xf>
    <xf numFmtId="0" fontId="28" fillId="0" borderId="1" applyProtection="0">
      <alignment horizontal="left"/>
    </xf>
    <xf numFmtId="0" fontId="28" fillId="0" borderId="1" applyProtection="0">
      <alignment horizontal="left"/>
    </xf>
    <xf numFmtId="0" fontId="28" fillId="0" borderId="1" applyProtection="0">
      <alignment horizontal="left"/>
    </xf>
    <xf numFmtId="0" fontId="28" fillId="0" borderId="1" applyProtection="0">
      <alignment horizontal="left"/>
    </xf>
    <xf numFmtId="0" fontId="28" fillId="0" borderId="1" applyProtection="0">
      <alignment horizontal="left"/>
    </xf>
    <xf numFmtId="0" fontId="50" fillId="0" borderId="1" applyProtection="0">
      <alignment horizontal="left"/>
    </xf>
    <xf numFmtId="0" fontId="47" fillId="0" borderId="1" applyProtection="0">
      <alignment horizontal="left"/>
    </xf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69" fontId="39" fillId="9" borderId="0" applyNumberFormat="0" applyFont="0" applyBorder="0" applyAlignment="0" applyProtection="0"/>
  </cellStyleXfs>
  <cellXfs count="391">
    <xf numFmtId="0" fontId="0" fillId="0" borderId="0" xfId="0"/>
    <xf numFmtId="38" fontId="0" fillId="0" borderId="0" xfId="0" applyNumberFormat="1"/>
    <xf numFmtId="38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38" fontId="0" fillId="0" borderId="0" xfId="0" applyNumberFormat="1" applyAlignment="1">
      <alignment horizontal="center"/>
    </xf>
    <xf numFmtId="38" fontId="0" fillId="0" borderId="0" xfId="0" applyNumberFormat="1" applyBorder="1"/>
    <xf numFmtId="40" fontId="0" fillId="0" borderId="0" xfId="0" applyNumberFormat="1" applyAlignment="1">
      <alignment horizontal="center"/>
    </xf>
    <xf numFmtId="38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/>
    </xf>
    <xf numFmtId="0" fontId="7" fillId="0" borderId="0" xfId="0" applyFont="1"/>
    <xf numFmtId="164" fontId="0" fillId="0" borderId="0" xfId="1" applyNumberFormat="1" applyFont="1"/>
    <xf numFmtId="0" fontId="0" fillId="0" borderId="1" xfId="0" applyBorder="1" applyAlignment="1">
      <alignment horizontal="center" wrapText="1"/>
    </xf>
    <xf numFmtId="164" fontId="0" fillId="0" borderId="0" xfId="0" applyNumberFormat="1"/>
    <xf numFmtId="0" fontId="6" fillId="0" borderId="0" xfId="0" applyFont="1"/>
    <xf numFmtId="0" fontId="0" fillId="0" borderId="0" xfId="0" quotePrefix="1"/>
    <xf numFmtId="0" fontId="11" fillId="0" borderId="0" xfId="0" applyFont="1"/>
    <xf numFmtId="0" fontId="10" fillId="0" borderId="0" xfId="0" quotePrefix="1" applyFont="1"/>
    <xf numFmtId="165" fontId="0" fillId="0" borderId="0" xfId="2" applyNumberFormat="1" applyFont="1"/>
    <xf numFmtId="0" fontId="10" fillId="0" borderId="0" xfId="0" applyFont="1"/>
    <xf numFmtId="0" fontId="8" fillId="0" borderId="0" xfId="0" applyFont="1" applyBorder="1"/>
    <xf numFmtId="38" fontId="8" fillId="0" borderId="0" xfId="0" applyNumberFormat="1" applyFont="1" applyBorder="1"/>
    <xf numFmtId="0" fontId="14" fillId="0" borderId="0" xfId="0" applyFont="1"/>
    <xf numFmtId="0" fontId="15" fillId="0" borderId="0" xfId="0" applyFont="1"/>
    <xf numFmtId="0" fontId="12" fillId="0" borderId="0" xfId="0" applyFont="1"/>
    <xf numFmtId="0" fontId="17" fillId="0" borderId="0" xfId="0" applyFont="1"/>
    <xf numFmtId="164" fontId="1" fillId="0" borderId="0" xfId="1" applyNumberFormat="1" applyFont="1"/>
    <xf numFmtId="38" fontId="13" fillId="0" borderId="0" xfId="0" applyNumberFormat="1" applyFont="1" applyBorder="1"/>
    <xf numFmtId="166" fontId="0" fillId="0" borderId="1" xfId="0" applyNumberFormat="1" applyBorder="1"/>
    <xf numFmtId="0" fontId="0" fillId="0" borderId="1" xfId="0" applyBorder="1"/>
    <xf numFmtId="164" fontId="16" fillId="0" borderId="0" xfId="1" applyNumberFormat="1" applyFont="1"/>
    <xf numFmtId="0" fontId="13" fillId="0" borderId="0" xfId="0" applyFont="1" applyBorder="1"/>
    <xf numFmtId="164" fontId="0" fillId="0" borderId="0" xfId="1" applyNumberFormat="1" applyFont="1" applyBorder="1"/>
    <xf numFmtId="164" fontId="16" fillId="0" borderId="0" xfId="1" applyNumberFormat="1" applyFont="1" applyBorder="1"/>
    <xf numFmtId="0" fontId="0" fillId="0" borderId="0" xfId="0" applyAlignment="1">
      <alignment horizontal="right"/>
    </xf>
    <xf numFmtId="38" fontId="1" fillId="0" borderId="0" xfId="0" applyNumberFormat="1" applyFont="1" applyBorder="1"/>
    <xf numFmtId="5" fontId="0" fillId="0" borderId="0" xfId="3" applyNumberFormat="1" applyFont="1" applyBorder="1"/>
    <xf numFmtId="0" fontId="0" fillId="0" borderId="0" xfId="0" applyFont="1"/>
    <xf numFmtId="0" fontId="18" fillId="0" borderId="0" xfId="0" applyFont="1"/>
    <xf numFmtId="5" fontId="0" fillId="0" borderId="0" xfId="3" applyNumberFormat="1" applyFont="1"/>
    <xf numFmtId="0" fontId="15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0" xfId="0" applyFont="1"/>
    <xf numFmtId="0" fontId="20" fillId="0" borderId="0" xfId="0" applyFont="1"/>
    <xf numFmtId="0" fontId="6" fillId="0" borderId="0" xfId="0" applyFont="1" applyBorder="1" applyAlignment="1">
      <alignment horizontal="center"/>
    </xf>
    <xf numFmtId="0" fontId="0" fillId="0" borderId="3" xfId="0" applyBorder="1"/>
    <xf numFmtId="7" fontId="13" fillId="0" borderId="0" xfId="3" applyNumberFormat="1" applyFont="1" applyAlignment="1">
      <alignment horizontal="center"/>
    </xf>
    <xf numFmtId="165" fontId="1" fillId="0" borderId="0" xfId="2" applyNumberFormat="1" applyFont="1" applyAlignment="1">
      <alignment horizontal="center"/>
    </xf>
    <xf numFmtId="164" fontId="13" fillId="0" borderId="0" xfId="1" applyNumberFormat="1" applyFont="1"/>
    <xf numFmtId="38" fontId="13" fillId="0" borderId="1" xfId="0" applyNumberFormat="1" applyFont="1" applyBorder="1" applyAlignment="1">
      <alignment horizontal="center"/>
    </xf>
    <xf numFmtId="38" fontId="1" fillId="0" borderId="0" xfId="0" applyNumberFormat="1" applyFont="1" applyBorder="1" applyAlignment="1">
      <alignment horizontal="center"/>
    </xf>
    <xf numFmtId="38" fontId="0" fillId="0" borderId="0" xfId="0" applyNumberFormat="1" applyBorder="1" applyAlignment="1">
      <alignment horizontal="center"/>
    </xf>
    <xf numFmtId="0" fontId="13" fillId="0" borderId="0" xfId="0" applyFont="1" applyFill="1" applyBorder="1"/>
    <xf numFmtId="0" fontId="21" fillId="0" borderId="0" xfId="0" applyFont="1"/>
    <xf numFmtId="0" fontId="13" fillId="0" borderId="2" xfId="0" applyFont="1" applyBorder="1"/>
    <xf numFmtId="40" fontId="1" fillId="0" borderId="0" xfId="0" applyNumberFormat="1" applyFont="1" applyAlignment="1">
      <alignment horizontal="center"/>
    </xf>
    <xf numFmtId="38" fontId="1" fillId="0" borderId="1" xfId="0" applyNumberFormat="1" applyFont="1" applyBorder="1"/>
    <xf numFmtId="166" fontId="0" fillId="0" borderId="0" xfId="0" applyNumberFormat="1" applyBorder="1"/>
    <xf numFmtId="167" fontId="13" fillId="0" borderId="0" xfId="3" applyNumberFormat="1" applyFont="1"/>
    <xf numFmtId="0" fontId="23" fillId="0" borderId="0" xfId="0" applyFont="1"/>
    <xf numFmtId="164" fontId="13" fillId="0" borderId="0" xfId="1" applyNumberFormat="1" applyFont="1" applyBorder="1"/>
    <xf numFmtId="15" fontId="0" fillId="0" borderId="0" xfId="0" applyNumberFormat="1"/>
    <xf numFmtId="0" fontId="0" fillId="0" borderId="1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164" fontId="0" fillId="0" borderId="3" xfId="0" applyNumberFormat="1" applyBorder="1"/>
    <xf numFmtId="0" fontId="0" fillId="0" borderId="4" xfId="0" applyBorder="1" applyAlignment="1">
      <alignment horizontal="center" wrapText="1"/>
    </xf>
    <xf numFmtId="43" fontId="0" fillId="0" borderId="3" xfId="1" applyFont="1" applyBorder="1"/>
    <xf numFmtId="38" fontId="13" fillId="0" borderId="0" xfId="1" applyNumberFormat="1" applyFont="1" applyBorder="1"/>
    <xf numFmtId="43" fontId="0" fillId="0" borderId="3" xfId="1" applyFont="1" applyFill="1" applyBorder="1"/>
    <xf numFmtId="0" fontId="26" fillId="0" borderId="6" xfId="0" applyFont="1" applyBorder="1"/>
    <xf numFmtId="38" fontId="13" fillId="0" borderId="6" xfId="0" applyNumberFormat="1" applyFont="1" applyBorder="1"/>
    <xf numFmtId="0" fontId="25" fillId="0" borderId="7" xfId="0" applyFont="1" applyBorder="1"/>
    <xf numFmtId="38" fontId="0" fillId="0" borderId="9" xfId="0" applyNumberFormat="1" applyBorder="1" applyAlignment="1">
      <alignment horizontal="center"/>
    </xf>
    <xf numFmtId="38" fontId="0" fillId="0" borderId="11" xfId="0" applyNumberFormat="1" applyBorder="1"/>
    <xf numFmtId="0" fontId="0" fillId="0" borderId="10" xfId="0" applyBorder="1"/>
    <xf numFmtId="0" fontId="1" fillId="0" borderId="10" xfId="0" applyFont="1" applyBorder="1"/>
    <xf numFmtId="38" fontId="1" fillId="0" borderId="11" xfId="0" applyNumberFormat="1" applyFont="1" applyBorder="1"/>
    <xf numFmtId="38" fontId="1" fillId="0" borderId="12" xfId="0" applyNumberFormat="1" applyFont="1" applyBorder="1"/>
    <xf numFmtId="0" fontId="0" fillId="0" borderId="13" xfId="0" applyBorder="1"/>
    <xf numFmtId="38" fontId="0" fillId="0" borderId="5" xfId="0" applyNumberFormat="1" applyBorder="1"/>
    <xf numFmtId="38" fontId="0" fillId="0" borderId="14" xfId="0" applyNumberFormat="1" applyBorder="1"/>
    <xf numFmtId="5" fontId="13" fillId="0" borderId="0" xfId="3" applyNumberFormat="1" applyFont="1"/>
    <xf numFmtId="168" fontId="0" fillId="0" borderId="0" xfId="1" applyNumberFormat="1" applyFont="1"/>
    <xf numFmtId="0" fontId="28" fillId="0" borderId="19" xfId="4" applyBorder="1" applyProtection="1">
      <protection locked="0"/>
    </xf>
    <xf numFmtId="167" fontId="28" fillId="0" borderId="20" xfId="5" applyNumberFormat="1" applyFont="1" applyBorder="1" applyProtection="1">
      <protection locked="0"/>
    </xf>
    <xf numFmtId="44" fontId="28" fillId="0" borderId="0" xfId="5" applyNumberFormat="1" applyFont="1" applyBorder="1" applyProtection="1">
      <protection locked="0"/>
    </xf>
    <xf numFmtId="44" fontId="28" fillId="0" borderId="3" xfId="5" applyNumberFormat="1" applyFont="1" applyBorder="1" applyProtection="1">
      <protection locked="0"/>
    </xf>
    <xf numFmtId="167" fontId="28" fillId="3" borderId="20" xfId="5" applyNumberFormat="1" applyFont="1" applyFill="1" applyBorder="1" applyProtection="1">
      <protection locked="0"/>
    </xf>
    <xf numFmtId="44" fontId="28" fillId="3" borderId="0" xfId="5" applyNumberFormat="1" applyFont="1" applyFill="1" applyBorder="1" applyProtection="1">
      <protection locked="0"/>
    </xf>
    <xf numFmtId="44" fontId="28" fillId="3" borderId="3" xfId="5" applyNumberFormat="1" applyFont="1" applyFill="1" applyBorder="1" applyProtection="1">
      <protection locked="0"/>
    </xf>
    <xf numFmtId="167" fontId="28" fillId="0" borderId="22" xfId="5" applyNumberFormat="1" applyFont="1" applyBorder="1" applyProtection="1">
      <protection locked="0"/>
    </xf>
    <xf numFmtId="44" fontId="28" fillId="0" borderId="1" xfId="5" applyNumberFormat="1" applyFont="1" applyBorder="1" applyProtection="1">
      <protection locked="0"/>
    </xf>
    <xf numFmtId="44" fontId="28" fillId="0" borderId="4" xfId="5" applyNumberFormat="1" applyFont="1" applyBorder="1" applyProtection="1">
      <protection locked="0"/>
    </xf>
    <xf numFmtId="167" fontId="28" fillId="0" borderId="0" xfId="5" applyNumberFormat="1" applyFont="1" applyBorder="1" applyProtection="1">
      <protection locked="0"/>
    </xf>
    <xf numFmtId="0" fontId="28" fillId="0" borderId="17" xfId="4" applyBorder="1" applyAlignment="1" applyProtection="1">
      <alignment horizontal="center" wrapText="1"/>
      <protection locked="0"/>
    </xf>
    <xf numFmtId="0" fontId="28" fillId="0" borderId="18" xfId="4" applyBorder="1" applyAlignment="1" applyProtection="1">
      <alignment horizontal="center" wrapText="1"/>
      <protection locked="0"/>
    </xf>
    <xf numFmtId="44" fontId="28" fillId="0" borderId="0" xfId="3" applyFont="1" applyBorder="1" applyProtection="1">
      <protection locked="0"/>
    </xf>
    <xf numFmtId="44" fontId="28" fillId="0" borderId="3" xfId="3" applyFont="1" applyBorder="1" applyProtection="1">
      <protection locked="0"/>
    </xf>
    <xf numFmtId="44" fontId="28" fillId="3" borderId="0" xfId="3" applyFont="1" applyFill="1" applyBorder="1" applyProtection="1">
      <protection locked="0"/>
    </xf>
    <xf numFmtId="44" fontId="28" fillId="3" borderId="3" xfId="3" applyFont="1" applyFill="1" applyBorder="1" applyProtection="1">
      <protection locked="0"/>
    </xf>
    <xf numFmtId="0" fontId="0" fillId="0" borderId="0" xfId="0" applyNumberFormat="1" applyAlignment="1">
      <alignment horizontal="center"/>
    </xf>
    <xf numFmtId="182" fontId="0" fillId="0" borderId="0" xfId="1" applyNumberFormat="1" applyFont="1"/>
    <xf numFmtId="0" fontId="0" fillId="0" borderId="17" xfId="0" applyBorder="1"/>
    <xf numFmtId="38" fontId="0" fillId="0" borderId="17" xfId="0" applyNumberFormat="1" applyBorder="1"/>
    <xf numFmtId="0" fontId="13" fillId="0" borderId="43" xfId="0" applyFont="1" applyBorder="1"/>
    <xf numFmtId="0" fontId="0" fillId="0" borderId="43" xfId="0" applyBorder="1"/>
    <xf numFmtId="164" fontId="13" fillId="0" borderId="43" xfId="1" applyNumberFormat="1" applyFont="1" applyBorder="1"/>
    <xf numFmtId="38" fontId="0" fillId="0" borderId="43" xfId="0" applyNumberFormat="1" applyBorder="1"/>
    <xf numFmtId="164" fontId="0" fillId="0" borderId="43" xfId="1" applyNumberFormat="1" applyFont="1" applyBorder="1"/>
    <xf numFmtId="0" fontId="0" fillId="0" borderId="23" xfId="0" applyBorder="1" applyAlignment="1">
      <alignment horizontal="center" wrapText="1"/>
    </xf>
    <xf numFmtId="43" fontId="0" fillId="0" borderId="0" xfId="0" applyNumberFormat="1" applyFill="1" applyBorder="1"/>
    <xf numFmtId="10" fontId="0" fillId="0" borderId="0" xfId="2" applyNumberFormat="1" applyFont="1"/>
    <xf numFmtId="44" fontId="1" fillId="0" borderId="0" xfId="3" applyFont="1" applyAlignment="1">
      <alignment horizontal="center"/>
    </xf>
    <xf numFmtId="0" fontId="0" fillId="0" borderId="0" xfId="0" applyAlignment="1"/>
    <xf numFmtId="8" fontId="13" fillId="0" borderId="0" xfId="0" applyNumberFormat="1" applyFont="1" applyAlignment="1">
      <alignment horizontal="center"/>
    </xf>
    <xf numFmtId="38" fontId="98" fillId="0" borderId="0" xfId="0" applyNumberFormat="1" applyFont="1" applyBorder="1" applyAlignment="1">
      <alignment horizontal="center"/>
    </xf>
    <xf numFmtId="44" fontId="98" fillId="0" borderId="0" xfId="3" applyFont="1" applyAlignment="1">
      <alignment horizontal="center"/>
    </xf>
    <xf numFmtId="38" fontId="98" fillId="0" borderId="1" xfId="0" applyNumberFormat="1" applyFont="1" applyBorder="1" applyAlignment="1"/>
    <xf numFmtId="10" fontId="98" fillId="0" borderId="0" xfId="2" applyNumberFormat="1" applyFont="1" applyAlignment="1">
      <alignment horizontal="right"/>
    </xf>
    <xf numFmtId="167" fontId="98" fillId="0" borderId="0" xfId="3" applyNumberFormat="1" applyFont="1"/>
    <xf numFmtId="10" fontId="98" fillId="0" borderId="0" xfId="0" applyNumberFormat="1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38" fontId="6" fillId="0" borderId="0" xfId="0" applyNumberFormat="1" applyFont="1" applyAlignment="1">
      <alignment horizontal="center"/>
    </xf>
    <xf numFmtId="0" fontId="6" fillId="0" borderId="1" xfId="0" applyFont="1" applyBorder="1"/>
    <xf numFmtId="38" fontId="22" fillId="0" borderId="1" xfId="0" applyNumberFormat="1" applyFont="1" applyBorder="1" applyAlignment="1">
      <alignment horizontal="center"/>
    </xf>
    <xf numFmtId="38" fontId="22" fillId="0" borderId="0" xfId="0" applyNumberFormat="1" applyFont="1" applyBorder="1" applyAlignment="1">
      <alignment horizontal="center"/>
    </xf>
    <xf numFmtId="10" fontId="98" fillId="0" borderId="44" xfId="2" applyNumberFormat="1" applyFont="1" applyBorder="1" applyAlignment="1">
      <alignment horizontal="center"/>
    </xf>
    <xf numFmtId="168" fontId="98" fillId="0" borderId="0" xfId="1" applyNumberFormat="1" applyFont="1"/>
    <xf numFmtId="10" fontId="98" fillId="0" borderId="0" xfId="2" applyNumberFormat="1" applyFont="1" applyBorder="1"/>
    <xf numFmtId="0" fontId="18" fillId="0" borderId="0" xfId="0" applyFont="1" applyAlignment="1">
      <alignment vertical="center"/>
    </xf>
    <xf numFmtId="0" fontId="24" fillId="0" borderId="0" xfId="0" applyFont="1" applyAlignment="1">
      <alignment horizontal="left" vertical="top"/>
    </xf>
    <xf numFmtId="37" fontId="1" fillId="0" borderId="0" xfId="0" applyNumberFormat="1" applyFont="1" applyAlignment="1">
      <alignment horizontal="center"/>
    </xf>
    <xf numFmtId="0" fontId="9" fillId="0" borderId="2" xfId="0" applyFont="1" applyBorder="1"/>
    <xf numFmtId="165" fontId="0" fillId="0" borderId="0" xfId="2" applyNumberFormat="1" applyFont="1" applyAlignment="1">
      <alignment wrapText="1"/>
    </xf>
    <xf numFmtId="38" fontId="1" fillId="0" borderId="0" xfId="0" applyNumberFormat="1" applyFont="1" applyBorder="1" applyAlignment="1">
      <alignment horizontal="right"/>
    </xf>
    <xf numFmtId="164" fontId="98" fillId="0" borderId="0" xfId="1" applyNumberFormat="1" applyFont="1"/>
    <xf numFmtId="167" fontId="13" fillId="0" borderId="0" xfId="3" applyNumberFormat="1" applyFont="1" applyAlignment="1">
      <alignment horizontal="center"/>
    </xf>
    <xf numFmtId="0" fontId="0" fillId="0" borderId="0" xfId="0" applyAlignment="1">
      <alignment wrapText="1"/>
    </xf>
    <xf numFmtId="0" fontId="98" fillId="0" borderId="0" xfId="0" applyFont="1"/>
    <xf numFmtId="44" fontId="98" fillId="0" borderId="0" xfId="3" applyFont="1" applyBorder="1" applyAlignment="1">
      <alignment horizontal="center"/>
    </xf>
    <xf numFmtId="0" fontId="0" fillId="0" borderId="0" xfId="0" applyFill="1" applyBorder="1"/>
    <xf numFmtId="164" fontId="16" fillId="0" borderId="0" xfId="1" applyNumberFormat="1" applyFont="1" applyFill="1" applyBorder="1"/>
    <xf numFmtId="164" fontId="0" fillId="0" borderId="0" xfId="1" applyNumberFormat="1" applyFont="1" applyFill="1" applyBorder="1"/>
    <xf numFmtId="38" fontId="0" fillId="0" borderId="0" xfId="1" applyNumberFormat="1" applyFont="1" applyFill="1" applyBorder="1"/>
    <xf numFmtId="0" fontId="0" fillId="0" borderId="0" xfId="0" applyFill="1"/>
    <xf numFmtId="44" fontId="28" fillId="0" borderId="43" xfId="5" applyNumberFormat="1" applyFont="1" applyBorder="1" applyProtection="1">
      <protection locked="0"/>
    </xf>
    <xf numFmtId="0" fontId="0" fillId="0" borderId="0" xfId="0"/>
    <xf numFmtId="0" fontId="28" fillId="0" borderId="17" xfId="4" applyBorder="1" applyAlignment="1" applyProtection="1">
      <alignment horizontal="center"/>
      <protection locked="0"/>
    </xf>
    <xf numFmtId="0" fontId="28" fillId="0" borderId="18" xfId="4" applyBorder="1" applyAlignment="1" applyProtection="1">
      <alignment horizontal="center"/>
      <protection locked="0"/>
    </xf>
    <xf numFmtId="168" fontId="13" fillId="0" borderId="0" xfId="1" applyNumberFormat="1" applyFont="1"/>
    <xf numFmtId="168" fontId="98" fillId="0" borderId="1" xfId="1" applyNumberFormat="1" applyFont="1" applyBorder="1"/>
    <xf numFmtId="183" fontId="0" fillId="0" borderId="0" xfId="0" applyNumberFormat="1"/>
    <xf numFmtId="40" fontId="0" fillId="0" borderId="8" xfId="0" applyNumberFormat="1" applyBorder="1" applyAlignment="1">
      <alignment horizontal="center"/>
    </xf>
    <xf numFmtId="40" fontId="0" fillId="0" borderId="9" xfId="0" applyNumberFormat="1" applyBorder="1" applyAlignment="1">
      <alignment horizontal="center"/>
    </xf>
    <xf numFmtId="40" fontId="0" fillId="0" borderId="0" xfId="0" applyNumberFormat="1" applyBorder="1" applyAlignment="1">
      <alignment horizontal="center"/>
    </xf>
    <xf numFmtId="40" fontId="0" fillId="0" borderId="11" xfId="0" applyNumberFormat="1" applyBorder="1" applyAlignment="1">
      <alignment horizontal="center"/>
    </xf>
    <xf numFmtId="40" fontId="0" fillId="0" borderId="5" xfId="0" applyNumberFormat="1" applyBorder="1" applyAlignment="1">
      <alignment horizontal="center"/>
    </xf>
    <xf numFmtId="40" fontId="0" fillId="0" borderId="14" xfId="0" applyNumberFormat="1" applyBorder="1" applyAlignment="1">
      <alignment horizontal="center"/>
    </xf>
    <xf numFmtId="0" fontId="11" fillId="0" borderId="7" xfId="0" applyFont="1" applyBorder="1"/>
    <xf numFmtId="38" fontId="0" fillId="0" borderId="0" xfId="0" applyNumberFormat="1" applyBorder="1" applyAlignment="1">
      <alignment horizontal="left"/>
    </xf>
    <xf numFmtId="0" fontId="99" fillId="0" borderId="10" xfId="0" applyFont="1" applyFill="1" applyBorder="1"/>
    <xf numFmtId="0" fontId="13" fillId="0" borderId="10" xfId="0" applyFont="1" applyFill="1" applyBorder="1"/>
    <xf numFmtId="0" fontId="0" fillId="0" borderId="23" xfId="0" applyFill="1" applyBorder="1" applyAlignment="1">
      <alignment horizontal="center" wrapText="1"/>
    </xf>
    <xf numFmtId="164" fontId="0" fillId="0" borderId="3" xfId="1" applyNumberFormat="1" applyFont="1" applyBorder="1"/>
    <xf numFmtId="164" fontId="0" fillId="0" borderId="45" xfId="1" applyNumberFormat="1" applyFont="1" applyBorder="1"/>
    <xf numFmtId="0" fontId="13" fillId="0" borderId="0" xfId="0" applyFont="1"/>
    <xf numFmtId="168" fontId="22" fillId="0" borderId="0" xfId="1" applyNumberFormat="1" applyFont="1"/>
    <xf numFmtId="168" fontId="22" fillId="0" borderId="1" xfId="1" applyNumberFormat="1" applyFont="1" applyBorder="1"/>
    <xf numFmtId="168" fontId="13" fillId="0" borderId="0" xfId="0" applyNumberFormat="1" applyFont="1"/>
    <xf numFmtId="167" fontId="98" fillId="0" borderId="0" xfId="3" applyNumberFormat="1" applyFont="1" applyAlignment="1">
      <alignment horizontal="center"/>
    </xf>
    <xf numFmtId="38" fontId="0" fillId="0" borderId="11" xfId="0" applyNumberFormat="1" applyBorder="1" applyAlignment="1">
      <alignment horizontal="center"/>
    </xf>
    <xf numFmtId="167" fontId="98" fillId="0" borderId="0" xfId="3" applyNumberFormat="1" applyFont="1" applyBorder="1" applyAlignment="1"/>
    <xf numFmtId="0" fontId="6" fillId="0" borderId="0" xfId="0" applyFont="1" applyBorder="1"/>
    <xf numFmtId="164" fontId="98" fillId="0" borderId="0" xfId="1" applyNumberFormat="1" applyFont="1" applyBorder="1"/>
    <xf numFmtId="0" fontId="7" fillId="0" borderId="0" xfId="0" quotePrefix="1" applyFont="1"/>
    <xf numFmtId="0" fontId="6" fillId="0" borderId="17" xfId="0" applyFont="1" applyBorder="1"/>
    <xf numFmtId="38" fontId="6" fillId="0" borderId="17" xfId="0" applyNumberFormat="1" applyFont="1" applyBorder="1" applyAlignment="1">
      <alignment horizontal="center"/>
    </xf>
    <xf numFmtId="40" fontId="0" fillId="0" borderId="0" xfId="0" applyNumberFormat="1" applyBorder="1" applyAlignment="1">
      <alignment horizontal="left"/>
    </xf>
    <xf numFmtId="38" fontId="6" fillId="0" borderId="11" xfId="0" applyNumberFormat="1" applyFont="1" applyBorder="1" applyAlignment="1">
      <alignment horizontal="center"/>
    </xf>
    <xf numFmtId="165" fontId="98" fillId="0" borderId="0" xfId="2" applyNumberFormat="1" applyFont="1" applyBorder="1"/>
    <xf numFmtId="168" fontId="0" fillId="0" borderId="1" xfId="1" applyNumberFormat="1" applyFont="1" applyBorder="1"/>
    <xf numFmtId="0" fontId="6" fillId="0" borderId="47" xfId="0" applyFont="1" applyBorder="1"/>
    <xf numFmtId="38" fontId="6" fillId="0" borderId="47" xfId="0" applyNumberFormat="1" applyFont="1" applyBorder="1" applyAlignment="1">
      <alignment horizontal="center"/>
    </xf>
    <xf numFmtId="0" fontId="13" fillId="0" borderId="46" xfId="0" applyFont="1" applyBorder="1"/>
    <xf numFmtId="165" fontId="0" fillId="0" borderId="0" xfId="2" applyNumberFormat="1" applyFont="1" applyBorder="1" applyAlignment="1">
      <alignment horizontal="center"/>
    </xf>
    <xf numFmtId="164" fontId="0" fillId="0" borderId="1" xfId="1" applyNumberFormat="1" applyFont="1" applyBorder="1"/>
    <xf numFmtId="164" fontId="6" fillId="0" borderId="0" xfId="0" applyNumberFormat="1" applyFont="1"/>
    <xf numFmtId="0" fontId="101" fillId="0" borderId="0" xfId="0" applyFont="1"/>
    <xf numFmtId="167" fontId="0" fillId="0" borderId="0" xfId="0" applyNumberFormat="1"/>
    <xf numFmtId="167" fontId="0" fillId="0" borderId="1" xfId="0" applyNumberFormat="1" applyBorder="1"/>
    <xf numFmtId="167" fontId="102" fillId="0" borderId="0" xfId="3" applyNumberFormat="1" applyFont="1"/>
    <xf numFmtId="10" fontId="102" fillId="0" borderId="0" xfId="2" applyNumberFormat="1" applyFont="1"/>
    <xf numFmtId="0" fontId="103" fillId="0" borderId="0" xfId="0" applyFont="1"/>
    <xf numFmtId="44" fontId="0" fillId="0" borderId="0" xfId="0" applyNumberFormat="1"/>
    <xf numFmtId="44" fontId="0" fillId="0" borderId="1" xfId="0" applyNumberFormat="1" applyBorder="1"/>
    <xf numFmtId="44" fontId="6" fillId="0" borderId="0" xfId="0" applyNumberFormat="1" applyFont="1"/>
    <xf numFmtId="10" fontId="98" fillId="0" borderId="0" xfId="2" applyNumberFormat="1" applyFont="1"/>
    <xf numFmtId="0" fontId="104" fillId="0" borderId="0" xfId="0" applyFont="1"/>
    <xf numFmtId="10" fontId="105" fillId="0" borderId="0" xfId="0" applyNumberFormat="1" applyFont="1"/>
    <xf numFmtId="0" fontId="106" fillId="0" borderId="0" xfId="0" applyFont="1" applyAlignment="1">
      <alignment horizontal="left"/>
    </xf>
    <xf numFmtId="0" fontId="104" fillId="0" borderId="1" xfId="0" applyFont="1" applyBorder="1"/>
    <xf numFmtId="0" fontId="107" fillId="0" borderId="0" xfId="0" applyFont="1"/>
    <xf numFmtId="0" fontId="104" fillId="0" borderId="1" xfId="0" applyFont="1" applyBorder="1" applyAlignment="1">
      <alignment horizontal="center" wrapText="1"/>
    </xf>
    <xf numFmtId="164" fontId="104" fillId="0" borderId="0" xfId="1" applyNumberFormat="1" applyFont="1"/>
    <xf numFmtId="164" fontId="104" fillId="0" borderId="0" xfId="0" applyNumberFormat="1" applyFont="1"/>
    <xf numFmtId="165" fontId="104" fillId="0" borderId="0" xfId="2" applyNumberFormat="1" applyFont="1"/>
    <xf numFmtId="164" fontId="104" fillId="0" borderId="1" xfId="1" applyNumberFormat="1" applyFont="1" applyBorder="1"/>
    <xf numFmtId="164" fontId="104" fillId="0" borderId="1" xfId="0" applyNumberFormat="1" applyFont="1" applyBorder="1"/>
    <xf numFmtId="10" fontId="104" fillId="0" borderId="0" xfId="2" applyNumberFormat="1" applyFont="1"/>
    <xf numFmtId="10" fontId="104" fillId="0" borderId="0" xfId="2" applyNumberFormat="1" applyFont="1" applyFill="1" applyBorder="1"/>
    <xf numFmtId="0" fontId="108" fillId="0" borderId="0" xfId="0" applyFont="1"/>
    <xf numFmtId="0" fontId="109" fillId="0" borderId="0" xfId="0" applyNumberFormat="1" applyFont="1" applyAlignment="1">
      <alignment horizontal="left"/>
    </xf>
    <xf numFmtId="0" fontId="110" fillId="0" borderId="0" xfId="0" applyFont="1"/>
    <xf numFmtId="0" fontId="108" fillId="0" borderId="0" xfId="0" applyFont="1" applyAlignment="1">
      <alignment horizontal="right"/>
    </xf>
    <xf numFmtId="10" fontId="111" fillId="0" borderId="0" xfId="0" applyNumberFormat="1" applyFont="1"/>
    <xf numFmtId="9" fontId="111" fillId="0" borderId="0" xfId="0" applyNumberFormat="1" applyFont="1"/>
    <xf numFmtId="0" fontId="112" fillId="0" borderId="0" xfId="0" applyFont="1"/>
    <xf numFmtId="10" fontId="104" fillId="0" borderId="1" xfId="2" applyNumberFormat="1" applyFont="1" applyBorder="1"/>
    <xf numFmtId="0" fontId="113" fillId="0" borderId="0" xfId="0" applyFont="1"/>
    <xf numFmtId="0" fontId="114" fillId="0" borderId="0" xfId="0" applyFont="1"/>
    <xf numFmtId="0" fontId="104" fillId="0" borderId="0" xfId="0" applyFont="1" applyBorder="1"/>
    <xf numFmtId="44" fontId="115" fillId="0" borderId="0" xfId="3" applyNumberFormat="1" applyFont="1"/>
    <xf numFmtId="0" fontId="116" fillId="0" borderId="0" xfId="0" applyFont="1"/>
    <xf numFmtId="184" fontId="109" fillId="0" borderId="0" xfId="0" applyNumberFormat="1" applyFont="1" applyAlignment="1">
      <alignment horizontal="right"/>
    </xf>
    <xf numFmtId="10" fontId="105" fillId="0" borderId="0" xfId="2" applyNumberFormat="1" applyFont="1"/>
    <xf numFmtId="0" fontId="11" fillId="0" borderId="7" xfId="0" applyFont="1" applyFill="1" applyBorder="1"/>
    <xf numFmtId="40" fontId="0" fillId="0" borderId="8" xfId="0" applyNumberFormat="1" applyFill="1" applyBorder="1" applyAlignment="1">
      <alignment horizontal="center"/>
    </xf>
    <xf numFmtId="40" fontId="0" fillId="0" borderId="9" xfId="0" applyNumberFormat="1" applyFill="1" applyBorder="1" applyAlignment="1">
      <alignment horizontal="center"/>
    </xf>
    <xf numFmtId="0" fontId="2" fillId="0" borderId="0" xfId="0" applyFont="1" applyFill="1"/>
    <xf numFmtId="0" fontId="0" fillId="0" borderId="10" xfId="0" applyFill="1" applyBorder="1"/>
    <xf numFmtId="40" fontId="0" fillId="0" borderId="0" xfId="0" applyNumberFormat="1" applyFill="1" applyBorder="1" applyAlignment="1">
      <alignment horizontal="center"/>
    </xf>
    <xf numFmtId="40" fontId="0" fillId="0" borderId="11" xfId="0" applyNumberFormat="1" applyFill="1" applyBorder="1" applyAlignment="1">
      <alignment horizontal="center"/>
    </xf>
    <xf numFmtId="0" fontId="7" fillId="0" borderId="10" xfId="0" applyFont="1" applyFill="1" applyBorder="1"/>
    <xf numFmtId="38" fontId="0" fillId="0" borderId="0" xfId="0" applyNumberFormat="1" applyFill="1" applyBorder="1"/>
    <xf numFmtId="10" fontId="98" fillId="0" borderId="0" xfId="2" applyNumberFormat="1" applyFont="1" applyFill="1" applyBorder="1"/>
    <xf numFmtId="167" fontId="98" fillId="0" borderId="0" xfId="3" applyNumberFormat="1" applyFont="1" applyFill="1" applyBorder="1"/>
    <xf numFmtId="38" fontId="0" fillId="0" borderId="0" xfId="0" applyNumberFormat="1" applyFill="1" applyBorder="1" applyAlignment="1">
      <alignment horizontal="center"/>
    </xf>
    <xf numFmtId="10" fontId="98" fillId="0" borderId="44" xfId="2" applyNumberFormat="1" applyFont="1" applyFill="1" applyBorder="1" applyAlignment="1">
      <alignment horizontal="center"/>
    </xf>
    <xf numFmtId="38" fontId="0" fillId="0" borderId="0" xfId="0" applyNumberFormat="1" applyFill="1" applyBorder="1" applyAlignment="1">
      <alignment horizontal="left"/>
    </xf>
    <xf numFmtId="43" fontId="98" fillId="0" borderId="0" xfId="1" applyFont="1" applyFill="1" applyBorder="1"/>
    <xf numFmtId="9" fontId="98" fillId="0" borderId="0" xfId="0" applyNumberFormat="1" applyFont="1" applyFill="1" applyBorder="1"/>
    <xf numFmtId="6" fontId="98" fillId="0" borderId="0" xfId="0" applyNumberFormat="1" applyFont="1" applyFill="1" applyBorder="1"/>
    <xf numFmtId="0" fontId="0" fillId="0" borderId="0" xfId="0" quotePrefix="1" applyFill="1" applyBorder="1"/>
    <xf numFmtId="0" fontId="0" fillId="0" borderId="10" xfId="0" applyFill="1" applyBorder="1" applyAlignment="1">
      <alignment horizontal="left"/>
    </xf>
    <xf numFmtId="0" fontId="0" fillId="0" borderId="13" xfId="0" applyFill="1" applyBorder="1"/>
    <xf numFmtId="40" fontId="0" fillId="0" borderId="5" xfId="0" applyNumberFormat="1" applyFill="1" applyBorder="1" applyAlignment="1">
      <alignment horizontal="center"/>
    </xf>
    <xf numFmtId="40" fontId="0" fillId="0" borderId="14" xfId="0" applyNumberFormat="1" applyFill="1" applyBorder="1" applyAlignment="1">
      <alignment horizontal="center"/>
    </xf>
    <xf numFmtId="0" fontId="25" fillId="0" borderId="7" xfId="0" applyFont="1" applyFill="1" applyBorder="1"/>
    <xf numFmtId="38" fontId="0" fillId="0" borderId="9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38" fontId="0" fillId="0" borderId="11" xfId="0" applyNumberFormat="1" applyFill="1" applyBorder="1"/>
    <xf numFmtId="38" fontId="1" fillId="0" borderId="0" xfId="0" applyNumberFormat="1" applyFont="1" applyFill="1" applyAlignment="1">
      <alignment horizontal="center"/>
    </xf>
    <xf numFmtId="9" fontId="1" fillId="0" borderId="0" xfId="2" applyFont="1" applyFill="1" applyAlignment="1">
      <alignment horizontal="center"/>
    </xf>
    <xf numFmtId="0" fontId="9" fillId="0" borderId="2" xfId="0" applyFont="1" applyFill="1" applyBorder="1"/>
    <xf numFmtId="38" fontId="1" fillId="0" borderId="0" xfId="0" applyNumberFormat="1" applyFont="1" applyFill="1" applyBorder="1"/>
    <xf numFmtId="0" fontId="1" fillId="0" borderId="10" xfId="0" applyFont="1" applyFill="1" applyBorder="1"/>
    <xf numFmtId="38" fontId="1" fillId="0" borderId="11" xfId="0" applyNumberFormat="1" applyFont="1" applyFill="1" applyBorder="1"/>
    <xf numFmtId="38" fontId="1" fillId="0" borderId="0" xfId="0" applyNumberFormat="1" applyFont="1" applyFill="1" applyBorder="1" applyAlignment="1">
      <alignment horizontal="right"/>
    </xf>
    <xf numFmtId="38" fontId="1" fillId="0" borderId="1" xfId="0" applyNumberFormat="1" applyFont="1" applyFill="1" applyBorder="1"/>
    <xf numFmtId="38" fontId="1" fillId="0" borderId="12" xfId="0" applyNumberFormat="1" applyFont="1" applyFill="1" applyBorder="1"/>
    <xf numFmtId="38" fontId="13" fillId="0" borderId="0" xfId="0" applyNumberFormat="1" applyFont="1" applyFill="1" applyBorder="1"/>
    <xf numFmtId="38" fontId="0" fillId="0" borderId="5" xfId="0" applyNumberFormat="1" applyFill="1" applyBorder="1"/>
    <xf numFmtId="38" fontId="0" fillId="0" borderId="14" xfId="0" applyNumberFormat="1" applyFill="1" applyBorder="1"/>
    <xf numFmtId="0" fontId="18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8" fontId="13" fillId="0" borderId="0" xfId="0" applyNumberFormat="1" applyFont="1" applyFill="1" applyAlignment="1">
      <alignment horizontal="center"/>
    </xf>
    <xf numFmtId="40" fontId="1" fillId="0" borderId="0" xfId="0" applyNumberFormat="1" applyFont="1" applyFill="1" applyAlignment="1">
      <alignment horizontal="center"/>
    </xf>
    <xf numFmtId="0" fontId="0" fillId="0" borderId="0" xfId="0" applyFill="1" applyAlignment="1"/>
    <xf numFmtId="0" fontId="0" fillId="0" borderId="1" xfId="0" applyFill="1" applyBorder="1"/>
    <xf numFmtId="38" fontId="13" fillId="0" borderId="1" xfId="0" applyNumberFormat="1" applyFont="1" applyFill="1" applyBorder="1" applyAlignment="1">
      <alignment horizontal="center"/>
    </xf>
    <xf numFmtId="38" fontId="1" fillId="0" borderId="0" xfId="0" applyNumberFormat="1" applyFont="1" applyFill="1" applyBorder="1" applyAlignment="1">
      <alignment horizontal="center"/>
    </xf>
    <xf numFmtId="38" fontId="0" fillId="0" borderId="0" xfId="0" applyNumberFormat="1" applyFill="1" applyAlignment="1">
      <alignment horizontal="center"/>
    </xf>
    <xf numFmtId="0" fontId="6" fillId="0" borderId="17" xfId="0" applyFont="1" applyFill="1" applyBorder="1"/>
    <xf numFmtId="38" fontId="6" fillId="0" borderId="17" xfId="0" applyNumberFormat="1" applyFont="1" applyFill="1" applyBorder="1" applyAlignment="1">
      <alignment horizontal="center"/>
    </xf>
    <xf numFmtId="38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38" fontId="22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38" fontId="98" fillId="0" borderId="0" xfId="0" applyNumberFormat="1" applyFont="1" applyFill="1" applyBorder="1" applyAlignment="1">
      <alignment horizontal="center"/>
    </xf>
    <xf numFmtId="0" fontId="6" fillId="0" borderId="1" xfId="0" applyFont="1" applyFill="1" applyBorder="1"/>
    <xf numFmtId="38" fontId="22" fillId="0" borderId="1" xfId="0" applyNumberFormat="1" applyFont="1" applyFill="1" applyBorder="1" applyAlignment="1">
      <alignment horizontal="center"/>
    </xf>
    <xf numFmtId="0" fontId="6" fillId="0" borderId="43" xfId="0" applyFont="1" applyFill="1" applyBorder="1"/>
    <xf numFmtId="38" fontId="6" fillId="0" borderId="43" xfId="0" applyNumberFormat="1" applyFont="1" applyFill="1" applyBorder="1" applyAlignment="1">
      <alignment horizontal="center"/>
    </xf>
    <xf numFmtId="0" fontId="98" fillId="0" borderId="10" xfId="0" applyFont="1" applyBorder="1"/>
    <xf numFmtId="167" fontId="98" fillId="0" borderId="44" xfId="3" applyNumberFormat="1" applyFont="1" applyBorder="1" applyAlignment="1">
      <alignment horizontal="center"/>
    </xf>
    <xf numFmtId="0" fontId="7" fillId="0" borderId="10" xfId="0" applyFont="1" applyBorder="1"/>
    <xf numFmtId="0" fontId="13" fillId="0" borderId="10" xfId="0" applyFont="1" applyBorder="1"/>
    <xf numFmtId="167" fontId="98" fillId="0" borderId="0" xfId="3" applyNumberFormat="1" applyFont="1" applyBorder="1"/>
    <xf numFmtId="44" fontId="0" fillId="0" borderId="0" xfId="3" applyFont="1"/>
    <xf numFmtId="44" fontId="0" fillId="0" borderId="1" xfId="3" applyFont="1" applyBorder="1"/>
    <xf numFmtId="0" fontId="6" fillId="0" borderId="0" xfId="0" applyFont="1" applyAlignment="1">
      <alignment horizontal="right"/>
    </xf>
    <xf numFmtId="44" fontId="6" fillId="0" borderId="0" xfId="3" applyFont="1"/>
    <xf numFmtId="44" fontId="0" fillId="0" borderId="0" xfId="3" applyFont="1" applyBorder="1"/>
    <xf numFmtId="10" fontId="0" fillId="0" borderId="0" xfId="0" applyNumberFormat="1"/>
    <xf numFmtId="0" fontId="6" fillId="0" borderId="0" xfId="0" applyFont="1" applyBorder="1" applyAlignment="1">
      <alignment horizontal="center" wrapText="1"/>
    </xf>
    <xf numFmtId="164" fontId="0" fillId="0" borderId="48" xfId="1" applyNumberFormat="1" applyFont="1" applyBorder="1"/>
    <xf numFmtId="164" fontId="0" fillId="0" borderId="49" xfId="1" applyNumberFormat="1" applyFont="1" applyBorder="1"/>
    <xf numFmtId="164" fontId="0" fillId="0" borderId="50" xfId="1" applyNumberFormat="1" applyFont="1" applyBorder="1"/>
    <xf numFmtId="9" fontId="0" fillId="0" borderId="0" xfId="0" applyNumberFormat="1"/>
    <xf numFmtId="0" fontId="118" fillId="0" borderId="51" xfId="0" applyFont="1" applyBorder="1"/>
    <xf numFmtId="0" fontId="15" fillId="0" borderId="43" xfId="0" applyFont="1" applyBorder="1"/>
    <xf numFmtId="0" fontId="15" fillId="0" borderId="45" xfId="0" applyFont="1" applyBorder="1"/>
    <xf numFmtId="0" fontId="15" fillId="0" borderId="23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5" fillId="0" borderId="21" xfId="0" applyFont="1" applyBorder="1"/>
    <xf numFmtId="164" fontId="15" fillId="0" borderId="0" xfId="1" applyNumberFormat="1" applyFont="1" applyBorder="1"/>
    <xf numFmtId="0" fontId="15" fillId="0" borderId="23" xfId="0" applyFont="1" applyBorder="1"/>
    <xf numFmtId="164" fontId="15" fillId="0" borderId="1" xfId="1" applyNumberFormat="1" applyFont="1" applyBorder="1"/>
    <xf numFmtId="0" fontId="99" fillId="0" borderId="0" xfId="0" applyFont="1"/>
    <xf numFmtId="0" fontId="119" fillId="0" borderId="0" xfId="0" applyFont="1"/>
    <xf numFmtId="43" fontId="104" fillId="0" borderId="0" xfId="1" applyFont="1"/>
    <xf numFmtId="38" fontId="6" fillId="0" borderId="52" xfId="0" applyNumberFormat="1" applyFont="1" applyBorder="1" applyAlignment="1">
      <alignment horizontal="center"/>
    </xf>
    <xf numFmtId="0" fontId="104" fillId="0" borderId="3" xfId="0" applyFont="1" applyBorder="1"/>
    <xf numFmtId="164" fontId="104" fillId="0" borderId="3" xfId="0" applyNumberFormat="1" applyFont="1" applyBorder="1"/>
    <xf numFmtId="164" fontId="104" fillId="0" borderId="4" xfId="0" applyNumberFormat="1" applyFont="1" applyBorder="1"/>
    <xf numFmtId="0" fontId="104" fillId="0" borderId="22" xfId="0" applyFont="1" applyBorder="1" applyAlignment="1">
      <alignment horizontal="center" wrapText="1"/>
    </xf>
    <xf numFmtId="0" fontId="104" fillId="0" borderId="20" xfId="0" applyFont="1" applyBorder="1"/>
    <xf numFmtId="164" fontId="104" fillId="0" borderId="20" xfId="0" applyNumberFormat="1" applyFont="1" applyBorder="1"/>
    <xf numFmtId="164" fontId="104" fillId="0" borderId="22" xfId="0" applyNumberFormat="1" applyFont="1" applyBorder="1"/>
    <xf numFmtId="165" fontId="104" fillId="0" borderId="3" xfId="2" applyNumberFormat="1" applyFont="1" applyBorder="1"/>
    <xf numFmtId="0" fontId="104" fillId="0" borderId="4" xfId="0" applyFont="1" applyBorder="1" applyAlignment="1">
      <alignment horizontal="center"/>
    </xf>
    <xf numFmtId="0" fontId="104" fillId="0" borderId="23" xfId="0" applyFont="1" applyBorder="1" applyAlignment="1">
      <alignment horizontal="center" wrapText="1"/>
    </xf>
    <xf numFmtId="164" fontId="104" fillId="0" borderId="3" xfId="1" applyNumberFormat="1" applyFont="1" applyBorder="1"/>
    <xf numFmtId="164" fontId="104" fillId="0" borderId="23" xfId="0" applyNumberFormat="1" applyFont="1" applyBorder="1"/>
    <xf numFmtId="164" fontId="104" fillId="0" borderId="4" xfId="1" applyNumberFormat="1" applyFont="1" applyBorder="1"/>
    <xf numFmtId="0" fontId="104" fillId="0" borderId="3" xfId="0" applyFont="1" applyBorder="1" applyAlignment="1">
      <alignment horizontal="center"/>
    </xf>
    <xf numFmtId="1" fontId="104" fillId="0" borderId="0" xfId="0" applyNumberFormat="1" applyFont="1"/>
    <xf numFmtId="1" fontId="104" fillId="0" borderId="1" xfId="0" applyNumberFormat="1" applyFont="1" applyBorder="1"/>
    <xf numFmtId="164" fontId="0" fillId="0" borderId="0" xfId="0" applyNumberFormat="1" applyAlignment="1">
      <alignment horizontal="right"/>
    </xf>
    <xf numFmtId="185" fontId="0" fillId="0" borderId="0" xfId="0" applyNumberFormat="1"/>
    <xf numFmtId="168" fontId="98" fillId="0" borderId="0" xfId="1" applyNumberFormat="1" applyFont="1" applyFill="1" applyBorder="1"/>
    <xf numFmtId="40" fontId="120" fillId="0" borderId="0" xfId="0" applyNumberFormat="1" applyFont="1" applyBorder="1" applyAlignment="1">
      <alignment horizontal="left"/>
    </xf>
    <xf numFmtId="167" fontId="98" fillId="0" borderId="1" xfId="3" applyNumberFormat="1" applyFont="1" applyBorder="1"/>
    <xf numFmtId="10" fontId="1" fillId="0" borderId="0" xfId="2" applyNumberFormat="1" applyFont="1" applyFill="1" applyAlignment="1">
      <alignment horizontal="center"/>
    </xf>
    <xf numFmtId="10" fontId="15" fillId="0" borderId="3" xfId="0" applyNumberFormat="1" applyFont="1" applyBorder="1"/>
    <xf numFmtId="10" fontId="15" fillId="0" borderId="4" xfId="0" applyNumberFormat="1" applyFont="1" applyBorder="1"/>
    <xf numFmtId="186" fontId="104" fillId="0" borderId="0" xfId="0" applyNumberFormat="1" applyFont="1"/>
    <xf numFmtId="0" fontId="0" fillId="0" borderId="0" xfId="0" applyFont="1" applyFill="1" applyBorder="1" applyAlignment="1">
      <alignment horizontal="left"/>
    </xf>
    <xf numFmtId="164" fontId="98" fillId="0" borderId="53" xfId="1" applyNumberFormat="1" applyFont="1" applyBorder="1"/>
    <xf numFmtId="164" fontId="98" fillId="0" borderId="54" xfId="1" applyNumberFormat="1" applyFont="1" applyBorder="1"/>
    <xf numFmtId="164" fontId="98" fillId="0" borderId="55" xfId="1" applyNumberFormat="1" applyFont="1" applyBorder="1"/>
    <xf numFmtId="164" fontId="98" fillId="0" borderId="56" xfId="1" applyNumberFormat="1" applyFont="1" applyBorder="1"/>
    <xf numFmtId="164" fontId="98" fillId="0" borderId="57" xfId="1" applyNumberFormat="1" applyFont="1" applyBorder="1"/>
    <xf numFmtId="164" fontId="98" fillId="0" borderId="58" xfId="1" applyNumberFormat="1" applyFont="1" applyBorder="1"/>
    <xf numFmtId="164" fontId="98" fillId="0" borderId="59" xfId="1" applyNumberFormat="1" applyFont="1" applyBorder="1"/>
    <xf numFmtId="164" fontId="98" fillId="0" borderId="60" xfId="1" applyNumberFormat="1" applyFont="1" applyBorder="1"/>
    <xf numFmtId="0" fontId="7" fillId="0" borderId="1" xfId="0" applyFont="1" applyBorder="1"/>
    <xf numFmtId="164" fontId="98" fillId="0" borderId="1" xfId="1" applyNumberFormat="1" applyFont="1" applyBorder="1"/>
    <xf numFmtId="40" fontId="121" fillId="0" borderId="0" xfId="0" applyNumberFormat="1" applyFont="1" applyBorder="1" applyAlignment="1">
      <alignment horizontal="left"/>
    </xf>
    <xf numFmtId="38" fontId="98" fillId="0" borderId="0" xfId="0" applyNumberFormat="1" applyFont="1" applyBorder="1" applyAlignment="1"/>
    <xf numFmtId="10" fontId="98" fillId="0" borderId="0" xfId="1" applyNumberFormat="1" applyFont="1" applyFill="1" applyBorder="1"/>
    <xf numFmtId="38" fontId="13" fillId="0" borderId="0" xfId="0" applyNumberFormat="1" applyFont="1" applyBorder="1" applyAlignment="1"/>
    <xf numFmtId="40" fontId="0" fillId="0" borderId="0" xfId="0" quotePrefix="1" applyNumberFormat="1" applyBorder="1" applyAlignment="1">
      <alignment horizontal="left"/>
    </xf>
    <xf numFmtId="43" fontId="0" fillId="0" borderId="0" xfId="0" applyNumberFormat="1"/>
    <xf numFmtId="164" fontId="98" fillId="0" borderId="0" xfId="1" applyNumberFormat="1" applyFont="1" applyFill="1" applyBorder="1"/>
    <xf numFmtId="38" fontId="6" fillId="0" borderId="0" xfId="0" applyNumberFormat="1" applyFont="1" applyBorder="1" applyAlignment="1">
      <alignment horizontal="center"/>
    </xf>
    <xf numFmtId="10" fontId="123" fillId="0" borderId="0" xfId="2" applyNumberFormat="1" applyFont="1" applyFill="1" applyBorder="1"/>
    <xf numFmtId="0" fontId="123" fillId="0" borderId="0" xfId="0" applyFont="1" applyFill="1"/>
    <xf numFmtId="167" fontId="123" fillId="0" borderId="0" xfId="3" applyNumberFormat="1" applyFont="1" applyFill="1" applyBorder="1"/>
    <xf numFmtId="9" fontId="123" fillId="0" borderId="0" xfId="0" applyNumberFormat="1" applyFont="1" applyFill="1" applyBorder="1"/>
    <xf numFmtId="164" fontId="123" fillId="0" borderId="0" xfId="1" applyNumberFormat="1" applyFont="1" applyBorder="1"/>
    <xf numFmtId="9" fontId="123" fillId="0" borderId="0" xfId="2" applyFont="1" applyFill="1" applyBorder="1"/>
    <xf numFmtId="6" fontId="123" fillId="0" borderId="0" xfId="0" applyNumberFormat="1" applyFont="1" applyFill="1" applyBorder="1"/>
    <xf numFmtId="0" fontId="123" fillId="0" borderId="0" xfId="0" quotePrefix="1" applyFont="1" applyFill="1" applyBorder="1"/>
    <xf numFmtId="0" fontId="0" fillId="0" borderId="0" xfId="0" applyFont="1" applyFill="1" applyBorder="1"/>
    <xf numFmtId="40" fontId="13" fillId="0" borderId="0" xfId="0" applyNumberFormat="1" applyFont="1" applyFill="1" applyBorder="1" applyAlignment="1">
      <alignment horizontal="left"/>
    </xf>
    <xf numFmtId="0" fontId="13" fillId="0" borderId="0" xfId="0" applyFont="1" applyFill="1"/>
    <xf numFmtId="10" fontId="13" fillId="0" borderId="0" xfId="2" applyNumberFormat="1" applyFont="1" applyFill="1" applyBorder="1" applyAlignment="1">
      <alignment horizontal="center"/>
    </xf>
    <xf numFmtId="10" fontId="123" fillId="0" borderId="0" xfId="1" applyNumberFormat="1" applyFont="1" applyFill="1" applyBorder="1"/>
    <xf numFmtId="38" fontId="109" fillId="0" borderId="0" xfId="0" applyNumberFormat="1" applyFont="1" applyFill="1" applyBorder="1"/>
    <xf numFmtId="0" fontId="1" fillId="0" borderId="10" xfId="0" applyFont="1" applyFill="1" applyBorder="1" applyAlignment="1">
      <alignment wrapText="1"/>
    </xf>
    <xf numFmtId="0" fontId="112" fillId="0" borderId="21" xfId="0" applyFont="1" applyBorder="1" applyAlignment="1">
      <alignment horizontal="center"/>
    </xf>
    <xf numFmtId="0" fontId="112" fillId="0" borderId="0" xfId="0" applyFont="1" applyBorder="1" applyAlignment="1">
      <alignment horizontal="center"/>
    </xf>
    <xf numFmtId="0" fontId="112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7" fillId="0" borderId="2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12091">
    <cellStyle name="20% - Accent1 2" xfId="6"/>
    <cellStyle name="20% - Accent1 2 2" xfId="7"/>
    <cellStyle name="20% - Accent1 2 3" xfId="8"/>
    <cellStyle name="20% - Accent1 3" xfId="9"/>
    <cellStyle name="20% - Accent1 3 2" xfId="10"/>
    <cellStyle name="20% - Accent1 4" xfId="11"/>
    <cellStyle name="20% - Accent1 5" xfId="12"/>
    <cellStyle name="20% - Accent1 5 2" xfId="13"/>
    <cellStyle name="20% - Accent1 5 2 2" xfId="14"/>
    <cellStyle name="20% - Accent1 6" xfId="15"/>
    <cellStyle name="20% - Accent1 6 2" xfId="16"/>
    <cellStyle name="20% - Accent1 7" xfId="17"/>
    <cellStyle name="20% - Accent1 8" xfId="18"/>
    <cellStyle name="20% - Accent2 2" xfId="19"/>
    <cellStyle name="20% - Accent2 2 2" xfId="20"/>
    <cellStyle name="20% - Accent2 2 3" xfId="21"/>
    <cellStyle name="20% - Accent2 3" xfId="22"/>
    <cellStyle name="20% - Accent2 3 2" xfId="23"/>
    <cellStyle name="20% - Accent2 4" xfId="24"/>
    <cellStyle name="20% - Accent2 5" xfId="25"/>
    <cellStyle name="20% - Accent2 5 2" xfId="26"/>
    <cellStyle name="20% - Accent2 5 2 2" xfId="27"/>
    <cellStyle name="20% - Accent2 6" xfId="28"/>
    <cellStyle name="20% - Accent2 6 2" xfId="29"/>
    <cellStyle name="20% - Accent2 7" xfId="30"/>
    <cellStyle name="20% - Accent2 8" xfId="31"/>
    <cellStyle name="20% - Accent3 2" xfId="32"/>
    <cellStyle name="20% - Accent3 2 2" xfId="33"/>
    <cellStyle name="20% - Accent3 2 3" xfId="34"/>
    <cellStyle name="20% - Accent3 3" xfId="35"/>
    <cellStyle name="20% - Accent3 3 2" xfId="36"/>
    <cellStyle name="20% - Accent3 4" xfId="37"/>
    <cellStyle name="20% - Accent3 5" xfId="38"/>
    <cellStyle name="20% - Accent3 5 2" xfId="39"/>
    <cellStyle name="20% - Accent3 5 2 2" xfId="40"/>
    <cellStyle name="20% - Accent3 6" xfId="41"/>
    <cellStyle name="20% - Accent3 6 2" xfId="42"/>
    <cellStyle name="20% - Accent3 7" xfId="43"/>
    <cellStyle name="20% - Accent3 8" xfId="44"/>
    <cellStyle name="20% - Accent4 2" xfId="45"/>
    <cellStyle name="20% - Accent4 2 2" xfId="46"/>
    <cellStyle name="20% - Accent4 2 3" xfId="47"/>
    <cellStyle name="20% - Accent4 3" xfId="48"/>
    <cellStyle name="20% - Accent4 3 2" xfId="49"/>
    <cellStyle name="20% - Accent4 4" xfId="50"/>
    <cellStyle name="20% - Accent4 5" xfId="51"/>
    <cellStyle name="20% - Accent4 5 2" xfId="52"/>
    <cellStyle name="20% - Accent4 5 2 2" xfId="53"/>
    <cellStyle name="20% - Accent4 6" xfId="54"/>
    <cellStyle name="20% - Accent4 6 2" xfId="55"/>
    <cellStyle name="20% - Accent4 7" xfId="56"/>
    <cellStyle name="20% - Accent4 8" xfId="57"/>
    <cellStyle name="20% - Accent5 2" xfId="58"/>
    <cellStyle name="20% - Accent5 2 2" xfId="59"/>
    <cellStyle name="20% - Accent5 2 3" xfId="60"/>
    <cellStyle name="20% - Accent5 3" xfId="61"/>
    <cellStyle name="20% - Accent5 3 2" xfId="62"/>
    <cellStyle name="20% - Accent5 4" xfId="63"/>
    <cellStyle name="20% - Accent5 5" xfId="64"/>
    <cellStyle name="20% - Accent5 6" xfId="65"/>
    <cellStyle name="20% - Accent6 2" xfId="66"/>
    <cellStyle name="20% - Accent6 2 2" xfId="67"/>
    <cellStyle name="20% - Accent6 2 3" xfId="68"/>
    <cellStyle name="20% - Accent6 3" xfId="69"/>
    <cellStyle name="20% - Accent6 3 2" xfId="70"/>
    <cellStyle name="20% - Accent6 4" xfId="71"/>
    <cellStyle name="20% - Accent6 5" xfId="72"/>
    <cellStyle name="20% - Accent6 6" xfId="73"/>
    <cellStyle name="40% - Accent1 2" xfId="74"/>
    <cellStyle name="40% - Accent1 2 2" xfId="75"/>
    <cellStyle name="40% - Accent1 2 3" xfId="76"/>
    <cellStyle name="40% - Accent1 3" xfId="77"/>
    <cellStyle name="40% - Accent1 3 2" xfId="78"/>
    <cellStyle name="40% - Accent1 4" xfId="79"/>
    <cellStyle name="40% - Accent1 5" xfId="80"/>
    <cellStyle name="40% - Accent1 5 2" xfId="81"/>
    <cellStyle name="40% - Accent1 5 2 2" xfId="82"/>
    <cellStyle name="40% - Accent1 6" xfId="83"/>
    <cellStyle name="40% - Accent1 6 2" xfId="84"/>
    <cellStyle name="40% - Accent1 7" xfId="85"/>
    <cellStyle name="40% - Accent1 8" xfId="86"/>
    <cellStyle name="40% - Accent2 2" xfId="87"/>
    <cellStyle name="40% - Accent2 2 2" xfId="88"/>
    <cellStyle name="40% - Accent2 2 3" xfId="89"/>
    <cellStyle name="40% - Accent2 3" xfId="90"/>
    <cellStyle name="40% - Accent2 3 2" xfId="91"/>
    <cellStyle name="40% - Accent2 4" xfId="92"/>
    <cellStyle name="40% - Accent2 5" xfId="93"/>
    <cellStyle name="40% - Accent2 6" xfId="94"/>
    <cellStyle name="40% - Accent3 2" xfId="95"/>
    <cellStyle name="40% - Accent3 2 2" xfId="96"/>
    <cellStyle name="40% - Accent3 2 3" xfId="97"/>
    <cellStyle name="40% - Accent3 3" xfId="98"/>
    <cellStyle name="40% - Accent3 3 2" xfId="99"/>
    <cellStyle name="40% - Accent3 4" xfId="100"/>
    <cellStyle name="40% - Accent3 5" xfId="101"/>
    <cellStyle name="40% - Accent3 5 2" xfId="102"/>
    <cellStyle name="40% - Accent3 5 2 2" xfId="103"/>
    <cellStyle name="40% - Accent3 6" xfId="104"/>
    <cellStyle name="40% - Accent3 6 2" xfId="105"/>
    <cellStyle name="40% - Accent3 7" xfId="106"/>
    <cellStyle name="40% - Accent3 8" xfId="107"/>
    <cellStyle name="40% - Accent4 2" xfId="108"/>
    <cellStyle name="40% - Accent4 2 2" xfId="109"/>
    <cellStyle name="40% - Accent4 2 3" xfId="110"/>
    <cellStyle name="40% - Accent4 3" xfId="111"/>
    <cellStyle name="40% - Accent4 3 2" xfId="112"/>
    <cellStyle name="40% - Accent4 4" xfId="113"/>
    <cellStyle name="40% - Accent4 5" xfId="114"/>
    <cellStyle name="40% - Accent4 5 2" xfId="115"/>
    <cellStyle name="40% - Accent4 5 2 2" xfId="116"/>
    <cellStyle name="40% - Accent4 6" xfId="117"/>
    <cellStyle name="40% - Accent4 6 2" xfId="118"/>
    <cellStyle name="40% - Accent4 7" xfId="119"/>
    <cellStyle name="40% - Accent4 8" xfId="120"/>
    <cellStyle name="40% - Accent5 2" xfId="121"/>
    <cellStyle name="40% - Accent5 2 2" xfId="122"/>
    <cellStyle name="40% - Accent5 2 3" xfId="123"/>
    <cellStyle name="40% - Accent5 3" xfId="124"/>
    <cellStyle name="40% - Accent5 3 2" xfId="125"/>
    <cellStyle name="40% - Accent5 4" xfId="126"/>
    <cellStyle name="40% - Accent5 5" xfId="127"/>
    <cellStyle name="40% - Accent5 6" xfId="128"/>
    <cellStyle name="40% - Accent6 2" xfId="129"/>
    <cellStyle name="40% - Accent6 2 2" xfId="130"/>
    <cellStyle name="40% - Accent6 2 3" xfId="131"/>
    <cellStyle name="40% - Accent6 3" xfId="132"/>
    <cellStyle name="40% - Accent6 3 2" xfId="133"/>
    <cellStyle name="40% - Accent6 4" xfId="134"/>
    <cellStyle name="40% - Accent6 5" xfId="135"/>
    <cellStyle name="40% - Accent6 5 2" xfId="136"/>
    <cellStyle name="40% - Accent6 5 2 2" xfId="137"/>
    <cellStyle name="40% - Accent6 6" xfId="138"/>
    <cellStyle name="40% - Accent6 6 2" xfId="139"/>
    <cellStyle name="40% - Accent6 7" xfId="140"/>
    <cellStyle name="40% - Accent6 8" xfId="141"/>
    <cellStyle name="60% - Accent1 2" xfId="142"/>
    <cellStyle name="60% - Accent1 2 2" xfId="143"/>
    <cellStyle name="60% - Accent1 2 3" xfId="144"/>
    <cellStyle name="60% - Accent1 3" xfId="145"/>
    <cellStyle name="60% - Accent1 3 2" xfId="146"/>
    <cellStyle name="60% - Accent1 4" xfId="147"/>
    <cellStyle name="60% - Accent1 5" xfId="148"/>
    <cellStyle name="60% - Accent1 5 2" xfId="149"/>
    <cellStyle name="60% - Accent1 5 2 2" xfId="150"/>
    <cellStyle name="60% - Accent1 6" xfId="151"/>
    <cellStyle name="60% - Accent1 6 2" xfId="152"/>
    <cellStyle name="60% - Accent1 7" xfId="153"/>
    <cellStyle name="60% - Accent1 8" xfId="154"/>
    <cellStyle name="60% - Accent2 2" xfId="155"/>
    <cellStyle name="60% - Accent2 2 2" xfId="156"/>
    <cellStyle name="60% - Accent2 2 3" xfId="157"/>
    <cellStyle name="60% - Accent2 3" xfId="158"/>
    <cellStyle name="60% - Accent2 3 2" xfId="159"/>
    <cellStyle name="60% - Accent2 4" xfId="160"/>
    <cellStyle name="60% - Accent2 5" xfId="161"/>
    <cellStyle name="60% - Accent2 5 2" xfId="162"/>
    <cellStyle name="60% - Accent2 5 2 2" xfId="163"/>
    <cellStyle name="60% - Accent2 6" xfId="164"/>
    <cellStyle name="60% - Accent2 6 2" xfId="165"/>
    <cellStyle name="60% - Accent2 7" xfId="166"/>
    <cellStyle name="60% - Accent2 8" xfId="167"/>
    <cellStyle name="60% - Accent3 2" xfId="168"/>
    <cellStyle name="60% - Accent3 2 2" xfId="169"/>
    <cellStyle name="60% - Accent3 2 3" xfId="170"/>
    <cellStyle name="60% - Accent3 3" xfId="171"/>
    <cellStyle name="60% - Accent3 3 2" xfId="172"/>
    <cellStyle name="60% - Accent3 4" xfId="173"/>
    <cellStyle name="60% - Accent3 5" xfId="174"/>
    <cellStyle name="60% - Accent3 5 2" xfId="175"/>
    <cellStyle name="60% - Accent3 5 2 2" xfId="176"/>
    <cellStyle name="60% - Accent3 6" xfId="177"/>
    <cellStyle name="60% - Accent3 6 2" xfId="178"/>
    <cellStyle name="60% - Accent3 7" xfId="179"/>
    <cellStyle name="60% - Accent3 8" xfId="180"/>
    <cellStyle name="60% - Accent4 2" xfId="181"/>
    <cellStyle name="60% - Accent4 2 2" xfId="182"/>
    <cellStyle name="60% - Accent4 2 3" xfId="183"/>
    <cellStyle name="60% - Accent4 3" xfId="184"/>
    <cellStyle name="60% - Accent4 3 2" xfId="185"/>
    <cellStyle name="60% - Accent4 4" xfId="186"/>
    <cellStyle name="60% - Accent4 5" xfId="187"/>
    <cellStyle name="60% - Accent4 5 2" xfId="188"/>
    <cellStyle name="60% - Accent4 5 2 2" xfId="189"/>
    <cellStyle name="60% - Accent4 6" xfId="190"/>
    <cellStyle name="60% - Accent4 6 2" xfId="191"/>
    <cellStyle name="60% - Accent4 7" xfId="192"/>
    <cellStyle name="60% - Accent4 8" xfId="193"/>
    <cellStyle name="60% - Accent5 2" xfId="194"/>
    <cellStyle name="60% - Accent5 2 2" xfId="195"/>
    <cellStyle name="60% - Accent5 2 3" xfId="196"/>
    <cellStyle name="60% - Accent5 3" xfId="197"/>
    <cellStyle name="60% - Accent5 3 2" xfId="198"/>
    <cellStyle name="60% - Accent5 4" xfId="199"/>
    <cellStyle name="60% - Accent5 5" xfId="200"/>
    <cellStyle name="60% - Accent5 5 2" xfId="201"/>
    <cellStyle name="60% - Accent5 5 2 2" xfId="202"/>
    <cellStyle name="60% - Accent5 6" xfId="203"/>
    <cellStyle name="60% - Accent5 6 2" xfId="204"/>
    <cellStyle name="60% - Accent5 7" xfId="205"/>
    <cellStyle name="60% - Accent5 8" xfId="206"/>
    <cellStyle name="60% - Accent6 2" xfId="207"/>
    <cellStyle name="60% - Accent6 2 2" xfId="208"/>
    <cellStyle name="60% - Accent6 2 3" xfId="209"/>
    <cellStyle name="60% - Accent6 3" xfId="210"/>
    <cellStyle name="60% - Accent6 3 2" xfId="211"/>
    <cellStyle name="60% - Accent6 4" xfId="212"/>
    <cellStyle name="60% - Accent6 5" xfId="213"/>
    <cellStyle name="60% - Accent6 5 2" xfId="214"/>
    <cellStyle name="60% - Accent6 5 2 2" xfId="215"/>
    <cellStyle name="60% - Accent6 6" xfId="216"/>
    <cellStyle name="60% - Accent6 6 2" xfId="217"/>
    <cellStyle name="60% - Accent6 7" xfId="218"/>
    <cellStyle name="60% - Accent6 8" xfId="219"/>
    <cellStyle name="Accent1 - 20%" xfId="220"/>
    <cellStyle name="Accent1 - 40%" xfId="221"/>
    <cellStyle name="Accent1 - 60%" xfId="222"/>
    <cellStyle name="Accent1 2" xfId="223"/>
    <cellStyle name="Accent1 2 2" xfId="224"/>
    <cellStyle name="Accent1 2 3" xfId="225"/>
    <cellStyle name="Accent1 3" xfId="226"/>
    <cellStyle name="Accent1 3 2" xfId="227"/>
    <cellStyle name="Accent1 4" xfId="228"/>
    <cellStyle name="Accent1 5" xfId="229"/>
    <cellStyle name="Accent1 5 2" xfId="230"/>
    <cellStyle name="Accent1 5 2 2" xfId="231"/>
    <cellStyle name="Accent1 6" xfId="232"/>
    <cellStyle name="Accent1 6 2" xfId="233"/>
    <cellStyle name="Accent1 7" xfId="234"/>
    <cellStyle name="Accent1 8" xfId="235"/>
    <cellStyle name="Accent2 - 20%" xfId="236"/>
    <cellStyle name="Accent2 - 40%" xfId="237"/>
    <cellStyle name="Accent2 - 60%" xfId="238"/>
    <cellStyle name="Accent2 2" xfId="239"/>
    <cellStyle name="Accent2 2 2" xfId="240"/>
    <cellStyle name="Accent2 2 3" xfId="241"/>
    <cellStyle name="Accent2 3" xfId="242"/>
    <cellStyle name="Accent2 3 2" xfId="243"/>
    <cellStyle name="Accent2 4" xfId="244"/>
    <cellStyle name="Accent2 5" xfId="245"/>
    <cellStyle name="Accent2 5 2" xfId="246"/>
    <cellStyle name="Accent2 5 2 2" xfId="247"/>
    <cellStyle name="Accent2 6" xfId="248"/>
    <cellStyle name="Accent2 6 2" xfId="249"/>
    <cellStyle name="Accent2 7" xfId="250"/>
    <cellStyle name="Accent2 8" xfId="251"/>
    <cellStyle name="Accent3 - 20%" xfId="252"/>
    <cellStyle name="Accent3 - 40%" xfId="253"/>
    <cellStyle name="Accent3 - 60%" xfId="254"/>
    <cellStyle name="Accent3 2" xfId="255"/>
    <cellStyle name="Accent3 2 2" xfId="256"/>
    <cellStyle name="Accent3 2 3" xfId="257"/>
    <cellStyle name="Accent3 3" xfId="258"/>
    <cellStyle name="Accent3 3 2" xfId="259"/>
    <cellStyle name="Accent3 4" xfId="260"/>
    <cellStyle name="Accent3 5" xfId="261"/>
    <cellStyle name="Accent3 5 2" xfId="262"/>
    <cellStyle name="Accent3 5 2 2" xfId="263"/>
    <cellStyle name="Accent3 6" xfId="264"/>
    <cellStyle name="Accent3 6 2" xfId="265"/>
    <cellStyle name="Accent3 7" xfId="266"/>
    <cellStyle name="Accent3 8" xfId="267"/>
    <cellStyle name="Accent4 - 20%" xfId="268"/>
    <cellStyle name="Accent4 - 40%" xfId="269"/>
    <cellStyle name="Accent4 - 60%" xfId="270"/>
    <cellStyle name="Accent4 2" xfId="271"/>
    <cellStyle name="Accent4 2 2" xfId="272"/>
    <cellStyle name="Accent4 2 3" xfId="273"/>
    <cellStyle name="Accent4 3" xfId="274"/>
    <cellStyle name="Accent4 3 2" xfId="275"/>
    <cellStyle name="Accent4 4" xfId="276"/>
    <cellStyle name="Accent4 5" xfId="277"/>
    <cellStyle name="Accent4 5 2" xfId="278"/>
    <cellStyle name="Accent4 5 2 2" xfId="279"/>
    <cellStyle name="Accent4 6" xfId="280"/>
    <cellStyle name="Accent4 6 2" xfId="281"/>
    <cellStyle name="Accent4 7" xfId="282"/>
    <cellStyle name="Accent4 8" xfId="283"/>
    <cellStyle name="Accent5 - 20%" xfId="284"/>
    <cellStyle name="Accent5 - 40%" xfId="285"/>
    <cellStyle name="Accent5 - 60%" xfId="286"/>
    <cellStyle name="Accent5 2" xfId="287"/>
    <cellStyle name="Accent5 2 2" xfId="288"/>
    <cellStyle name="Accent5 2 3" xfId="289"/>
    <cellStyle name="Accent5 3" xfId="290"/>
    <cellStyle name="Accent5 3 2" xfId="291"/>
    <cellStyle name="Accent5 4" xfId="292"/>
    <cellStyle name="Accent5 5" xfId="293"/>
    <cellStyle name="Accent5 5 2" xfId="294"/>
    <cellStyle name="Accent5 5 2 2" xfId="295"/>
    <cellStyle name="Accent5 6" xfId="296"/>
    <cellStyle name="Accent5 6 2" xfId="297"/>
    <cellStyle name="Accent5 7" xfId="298"/>
    <cellStyle name="Accent5 8" xfId="299"/>
    <cellStyle name="Accent6 - 20%" xfId="300"/>
    <cellStyle name="Accent6 - 40%" xfId="301"/>
    <cellStyle name="Accent6 - 60%" xfId="302"/>
    <cellStyle name="Accent6 2" xfId="303"/>
    <cellStyle name="Accent6 2 2" xfId="304"/>
    <cellStyle name="Accent6 2 3" xfId="305"/>
    <cellStyle name="Accent6 3" xfId="306"/>
    <cellStyle name="Accent6 3 2" xfId="307"/>
    <cellStyle name="Accent6 4" xfId="308"/>
    <cellStyle name="Accent6 5" xfId="309"/>
    <cellStyle name="Accent6 5 2" xfId="310"/>
    <cellStyle name="Accent6 5 2 2" xfId="311"/>
    <cellStyle name="Accent6 6" xfId="312"/>
    <cellStyle name="Accent6 6 2" xfId="313"/>
    <cellStyle name="Accent6 7" xfId="314"/>
    <cellStyle name="Accent6 8" xfId="315"/>
    <cellStyle name="Actual" xfId="316"/>
    <cellStyle name="Actual 2" xfId="317"/>
    <cellStyle name="Actual 2 2" xfId="318"/>
    <cellStyle name="Actual 3" xfId="319"/>
    <cellStyle name="Actual 3 2" xfId="320"/>
    <cellStyle name="Actual 4" xfId="321"/>
    <cellStyle name="Adjustable" xfId="322"/>
    <cellStyle name="AFE" xfId="323"/>
    <cellStyle name="AFE 10" xfId="324"/>
    <cellStyle name="AFE 10 10" xfId="325"/>
    <cellStyle name="AFE 10 11" xfId="326"/>
    <cellStyle name="AFE 10 12" xfId="327"/>
    <cellStyle name="AFE 10 13" xfId="328"/>
    <cellStyle name="AFE 10 14" xfId="329"/>
    <cellStyle name="AFE 10 15" xfId="330"/>
    <cellStyle name="AFE 10 16" xfId="331"/>
    <cellStyle name="AFE 10 17" xfId="332"/>
    <cellStyle name="AFE 10 18" xfId="333"/>
    <cellStyle name="AFE 10 19" xfId="334"/>
    <cellStyle name="AFE 10 2" xfId="335"/>
    <cellStyle name="AFE 10 20" xfId="336"/>
    <cellStyle name="AFE 10 21" xfId="337"/>
    <cellStyle name="AFE 10 22" xfId="338"/>
    <cellStyle name="AFE 10 23" xfId="339"/>
    <cellStyle name="AFE 10 3" xfId="340"/>
    <cellStyle name="AFE 10 4" xfId="341"/>
    <cellStyle name="AFE 10 5" xfId="342"/>
    <cellStyle name="AFE 10 6" xfId="343"/>
    <cellStyle name="AFE 10 7" xfId="344"/>
    <cellStyle name="AFE 10 8" xfId="345"/>
    <cellStyle name="AFE 10 9" xfId="346"/>
    <cellStyle name="AFE 11" xfId="347"/>
    <cellStyle name="AFE 11 10" xfId="348"/>
    <cellStyle name="AFE 11 11" xfId="349"/>
    <cellStyle name="AFE 11 12" xfId="350"/>
    <cellStyle name="AFE 11 13" xfId="351"/>
    <cellStyle name="AFE 11 14" xfId="352"/>
    <cellStyle name="AFE 11 15" xfId="353"/>
    <cellStyle name="AFE 11 16" xfId="354"/>
    <cellStyle name="AFE 11 17" xfId="355"/>
    <cellStyle name="AFE 11 18" xfId="356"/>
    <cellStyle name="AFE 11 19" xfId="357"/>
    <cellStyle name="AFE 11 2" xfId="358"/>
    <cellStyle name="AFE 11 20" xfId="359"/>
    <cellStyle name="AFE 11 21" xfId="360"/>
    <cellStyle name="AFE 11 22" xfId="361"/>
    <cellStyle name="AFE 11 23" xfId="362"/>
    <cellStyle name="AFE 11 3" xfId="363"/>
    <cellStyle name="AFE 11 4" xfId="364"/>
    <cellStyle name="AFE 11 5" xfId="365"/>
    <cellStyle name="AFE 11 6" xfId="366"/>
    <cellStyle name="AFE 11 7" xfId="367"/>
    <cellStyle name="AFE 11 8" xfId="368"/>
    <cellStyle name="AFE 11 9" xfId="369"/>
    <cellStyle name="AFE 12" xfId="370"/>
    <cellStyle name="AFE 12 10" xfId="371"/>
    <cellStyle name="AFE 12 11" xfId="372"/>
    <cellStyle name="AFE 12 12" xfId="373"/>
    <cellStyle name="AFE 12 13" xfId="374"/>
    <cellStyle name="AFE 12 14" xfId="375"/>
    <cellStyle name="AFE 12 15" xfId="376"/>
    <cellStyle name="AFE 12 16" xfId="377"/>
    <cellStyle name="AFE 12 17" xfId="378"/>
    <cellStyle name="AFE 12 18" xfId="379"/>
    <cellStyle name="AFE 12 19" xfId="380"/>
    <cellStyle name="AFE 12 2" xfId="381"/>
    <cellStyle name="AFE 12 20" xfId="382"/>
    <cellStyle name="AFE 12 21" xfId="383"/>
    <cellStyle name="AFE 12 22" xfId="384"/>
    <cellStyle name="AFE 12 23" xfId="385"/>
    <cellStyle name="AFE 12 3" xfId="386"/>
    <cellStyle name="AFE 12 4" xfId="387"/>
    <cellStyle name="AFE 12 5" xfId="388"/>
    <cellStyle name="AFE 12 6" xfId="389"/>
    <cellStyle name="AFE 12 7" xfId="390"/>
    <cellStyle name="AFE 12 8" xfId="391"/>
    <cellStyle name="AFE 12 9" xfId="392"/>
    <cellStyle name="AFE 13" xfId="393"/>
    <cellStyle name="AFE 13 10" xfId="394"/>
    <cellStyle name="AFE 13 11" xfId="395"/>
    <cellStyle name="AFE 13 12" xfId="396"/>
    <cellStyle name="AFE 13 13" xfId="397"/>
    <cellStyle name="AFE 13 14" xfId="398"/>
    <cellStyle name="AFE 13 15" xfId="399"/>
    <cellStyle name="AFE 13 16" xfId="400"/>
    <cellStyle name="AFE 13 17" xfId="401"/>
    <cellStyle name="AFE 13 18" xfId="402"/>
    <cellStyle name="AFE 13 19" xfId="403"/>
    <cellStyle name="AFE 13 2" xfId="404"/>
    <cellStyle name="AFE 13 20" xfId="405"/>
    <cellStyle name="AFE 13 21" xfId="406"/>
    <cellStyle name="AFE 13 22" xfId="407"/>
    <cellStyle name="AFE 13 23" xfId="408"/>
    <cellStyle name="AFE 13 3" xfId="409"/>
    <cellStyle name="AFE 13 4" xfId="410"/>
    <cellStyle name="AFE 13 5" xfId="411"/>
    <cellStyle name="AFE 13 6" xfId="412"/>
    <cellStyle name="AFE 13 7" xfId="413"/>
    <cellStyle name="AFE 13 8" xfId="414"/>
    <cellStyle name="AFE 13 9" xfId="415"/>
    <cellStyle name="AFE 14" xfId="416"/>
    <cellStyle name="AFE 15" xfId="417"/>
    <cellStyle name="AFE 16" xfId="418"/>
    <cellStyle name="AFE 17" xfId="419"/>
    <cellStyle name="AFE 17 2" xfId="420"/>
    <cellStyle name="AFE 18" xfId="421"/>
    <cellStyle name="AFE 18 2" xfId="422"/>
    <cellStyle name="AFE 19" xfId="423"/>
    <cellStyle name="AFE 2" xfId="424"/>
    <cellStyle name="AFE 2 10" xfId="425"/>
    <cellStyle name="AFE 2 11" xfId="426"/>
    <cellStyle name="AFE 2 12" xfId="427"/>
    <cellStyle name="AFE 2 13" xfId="428"/>
    <cellStyle name="AFE 2 14" xfId="429"/>
    <cellStyle name="AFE 2 15" xfId="430"/>
    <cellStyle name="AFE 2 16" xfId="431"/>
    <cellStyle name="AFE 2 17" xfId="432"/>
    <cellStyle name="AFE 2 18" xfId="433"/>
    <cellStyle name="AFE 2 19" xfId="434"/>
    <cellStyle name="AFE 2 2" xfId="435"/>
    <cellStyle name="AFE 2 2 2" xfId="436"/>
    <cellStyle name="AFE 2 2 3" xfId="437"/>
    <cellStyle name="AFE 2 2 3 2" xfId="438"/>
    <cellStyle name="AFE 2 20" xfId="439"/>
    <cellStyle name="AFE 2 21" xfId="440"/>
    <cellStyle name="AFE 2 22" xfId="441"/>
    <cellStyle name="AFE 2 23" xfId="442"/>
    <cellStyle name="AFE 2 24" xfId="443"/>
    <cellStyle name="AFE 2 25" xfId="444"/>
    <cellStyle name="AFE 2 26" xfId="445"/>
    <cellStyle name="AFE 2 27" xfId="446"/>
    <cellStyle name="AFE 2 28" xfId="447"/>
    <cellStyle name="AFE 2 29" xfId="448"/>
    <cellStyle name="AFE 2 3" xfId="449"/>
    <cellStyle name="AFE 2 30" xfId="450"/>
    <cellStyle name="AFE 2 31" xfId="451"/>
    <cellStyle name="AFE 2 32" xfId="452"/>
    <cellStyle name="AFE 2 33" xfId="453"/>
    <cellStyle name="AFE 2 34" xfId="454"/>
    <cellStyle name="AFE 2 35" xfId="455"/>
    <cellStyle name="AFE 2 36" xfId="456"/>
    <cellStyle name="AFE 2 37" xfId="457"/>
    <cellStyle name="AFE 2 38" xfId="458"/>
    <cellStyle name="AFE 2 39" xfId="459"/>
    <cellStyle name="AFE 2 4" xfId="460"/>
    <cellStyle name="AFE 2 40" xfId="461"/>
    <cellStyle name="AFE 2 41" xfId="462"/>
    <cellStyle name="AFE 2 42" xfId="463"/>
    <cellStyle name="AFE 2 43" xfId="464"/>
    <cellStyle name="AFE 2 44" xfId="465"/>
    <cellStyle name="AFE 2 45" xfId="466"/>
    <cellStyle name="AFE 2 46" xfId="467"/>
    <cellStyle name="AFE 2 47" xfId="468"/>
    <cellStyle name="AFE 2 48" xfId="469"/>
    <cellStyle name="AFE 2 49" xfId="470"/>
    <cellStyle name="AFE 2 5" xfId="471"/>
    <cellStyle name="AFE 2 50" xfId="472"/>
    <cellStyle name="AFE 2 51" xfId="473"/>
    <cellStyle name="AFE 2 52" xfId="474"/>
    <cellStyle name="AFE 2 53" xfId="475"/>
    <cellStyle name="AFE 2 54" xfId="476"/>
    <cellStyle name="AFE 2 55" xfId="477"/>
    <cellStyle name="AFE 2 56" xfId="478"/>
    <cellStyle name="AFE 2 57" xfId="479"/>
    <cellStyle name="AFE 2 58" xfId="480"/>
    <cellStyle name="AFE 2 59" xfId="481"/>
    <cellStyle name="AFE 2 6" xfId="482"/>
    <cellStyle name="AFE 2 60" xfId="483"/>
    <cellStyle name="AFE 2 61" xfId="484"/>
    <cellStyle name="AFE 2 62" xfId="485"/>
    <cellStyle name="AFE 2 63" xfId="486"/>
    <cellStyle name="AFE 2 64" xfId="487"/>
    <cellStyle name="AFE 2 65" xfId="488"/>
    <cellStyle name="AFE 2 66" xfId="489"/>
    <cellStyle name="AFE 2 67" xfId="490"/>
    <cellStyle name="AFE 2 7" xfId="491"/>
    <cellStyle name="AFE 2 8" xfId="492"/>
    <cellStyle name="AFE 2 9" xfId="493"/>
    <cellStyle name="AFE 2_FC &amp; rpt costs" xfId="494"/>
    <cellStyle name="AFE 20" xfId="495"/>
    <cellStyle name="AFE 21" xfId="496"/>
    <cellStyle name="AFE 22" xfId="497"/>
    <cellStyle name="AFE 23" xfId="498"/>
    <cellStyle name="AFE 24" xfId="499"/>
    <cellStyle name="AFE 25" xfId="500"/>
    <cellStyle name="AFE 26" xfId="501"/>
    <cellStyle name="AFE 27" xfId="502"/>
    <cellStyle name="AFE 28" xfId="503"/>
    <cellStyle name="AFE 29" xfId="504"/>
    <cellStyle name="AFE 3" xfId="505"/>
    <cellStyle name="AFE 3 2" xfId="506"/>
    <cellStyle name="AFE 3 2 2" xfId="507"/>
    <cellStyle name="AFE 3 3" xfId="508"/>
    <cellStyle name="AFE 3 3 2" xfId="509"/>
    <cellStyle name="AFE 3 4" xfId="510"/>
    <cellStyle name="AFE 3 4 2" xfId="511"/>
    <cellStyle name="AFE 3 5" xfId="512"/>
    <cellStyle name="AFE 3 6" xfId="513"/>
    <cellStyle name="AFE 3 7" xfId="514"/>
    <cellStyle name="AFE 3 8" xfId="515"/>
    <cellStyle name="AFE 30" xfId="516"/>
    <cellStyle name="AFE 31" xfId="517"/>
    <cellStyle name="AFE 32" xfId="518"/>
    <cellStyle name="AFE 33" xfId="519"/>
    <cellStyle name="AFE 33 2" xfId="520"/>
    <cellStyle name="AFE 34" xfId="521"/>
    <cellStyle name="AFE 34 2" xfId="522"/>
    <cellStyle name="AFE 35" xfId="523"/>
    <cellStyle name="AFE 36" xfId="524"/>
    <cellStyle name="AFE 37" xfId="525"/>
    <cellStyle name="AFE 38" xfId="526"/>
    <cellStyle name="AFE 39" xfId="527"/>
    <cellStyle name="AFE 4" xfId="528"/>
    <cellStyle name="AFE 4 10" xfId="529"/>
    <cellStyle name="AFE 4 11" xfId="530"/>
    <cellStyle name="AFE 4 12" xfId="531"/>
    <cellStyle name="AFE 4 13" xfId="532"/>
    <cellStyle name="AFE 4 14" xfId="533"/>
    <cellStyle name="AFE 4 15" xfId="534"/>
    <cellStyle name="AFE 4 16" xfId="535"/>
    <cellStyle name="AFE 4 17" xfId="536"/>
    <cellStyle name="AFE 4 18" xfId="537"/>
    <cellStyle name="AFE 4 19" xfId="538"/>
    <cellStyle name="AFE 4 2" xfId="539"/>
    <cellStyle name="AFE 4 2 10" xfId="540"/>
    <cellStyle name="AFE 4 2 11" xfId="541"/>
    <cellStyle name="AFE 4 2 12" xfId="542"/>
    <cellStyle name="AFE 4 2 13" xfId="543"/>
    <cellStyle name="AFE 4 2 14" xfId="544"/>
    <cellStyle name="AFE 4 2 15" xfId="545"/>
    <cellStyle name="AFE 4 2 16" xfId="546"/>
    <cellStyle name="AFE 4 2 17" xfId="547"/>
    <cellStyle name="AFE 4 2 18" xfId="548"/>
    <cellStyle name="AFE 4 2 19" xfId="549"/>
    <cellStyle name="AFE 4 2 2" xfId="550"/>
    <cellStyle name="AFE 4 2 20" xfId="551"/>
    <cellStyle name="AFE 4 2 21" xfId="552"/>
    <cellStyle name="AFE 4 2 22" xfId="553"/>
    <cellStyle name="AFE 4 2 23" xfId="554"/>
    <cellStyle name="AFE 4 2 24" xfId="555"/>
    <cellStyle name="AFE 4 2 25" xfId="556"/>
    <cellStyle name="AFE 4 2 26" xfId="557"/>
    <cellStyle name="AFE 4 2 27" xfId="558"/>
    <cellStyle name="AFE 4 2 28" xfId="559"/>
    <cellStyle name="AFE 4 2 29" xfId="560"/>
    <cellStyle name="AFE 4 2 3" xfId="561"/>
    <cellStyle name="AFE 4 2 30" xfId="562"/>
    <cellStyle name="AFE 4 2 31" xfId="563"/>
    <cellStyle name="AFE 4 2 32" xfId="564"/>
    <cellStyle name="AFE 4 2 4" xfId="565"/>
    <cellStyle name="AFE 4 2 5" xfId="566"/>
    <cellStyle name="AFE 4 2 6" xfId="567"/>
    <cellStyle name="AFE 4 2 7" xfId="568"/>
    <cellStyle name="AFE 4 2 8" xfId="569"/>
    <cellStyle name="AFE 4 2 9" xfId="570"/>
    <cellStyle name="AFE 4 20" xfId="571"/>
    <cellStyle name="AFE 4 21" xfId="572"/>
    <cellStyle name="AFE 4 22" xfId="573"/>
    <cellStyle name="AFE 4 23" xfId="574"/>
    <cellStyle name="AFE 4 24" xfId="575"/>
    <cellStyle name="AFE 4 25" xfId="576"/>
    <cellStyle name="AFE 4 26" xfId="577"/>
    <cellStyle name="AFE 4 27" xfId="578"/>
    <cellStyle name="AFE 4 28" xfId="579"/>
    <cellStyle name="AFE 4 29" xfId="580"/>
    <cellStyle name="AFE 4 3" xfId="581"/>
    <cellStyle name="AFE 4 3 10" xfId="582"/>
    <cellStyle name="AFE 4 3 11" xfId="583"/>
    <cellStyle name="AFE 4 3 12" xfId="584"/>
    <cellStyle name="AFE 4 3 13" xfId="585"/>
    <cellStyle name="AFE 4 3 14" xfId="586"/>
    <cellStyle name="AFE 4 3 15" xfId="587"/>
    <cellStyle name="AFE 4 3 16" xfId="588"/>
    <cellStyle name="AFE 4 3 17" xfId="589"/>
    <cellStyle name="AFE 4 3 18" xfId="590"/>
    <cellStyle name="AFE 4 3 19" xfId="591"/>
    <cellStyle name="AFE 4 3 2" xfId="592"/>
    <cellStyle name="AFE 4 3 20" xfId="593"/>
    <cellStyle name="AFE 4 3 21" xfId="594"/>
    <cellStyle name="AFE 4 3 22" xfId="595"/>
    <cellStyle name="AFE 4 3 23" xfId="596"/>
    <cellStyle name="AFE 4 3 3" xfId="597"/>
    <cellStyle name="AFE 4 3 4" xfId="598"/>
    <cellStyle name="AFE 4 3 5" xfId="599"/>
    <cellStyle name="AFE 4 3 6" xfId="600"/>
    <cellStyle name="AFE 4 3 7" xfId="601"/>
    <cellStyle name="AFE 4 3 8" xfId="602"/>
    <cellStyle name="AFE 4 3 9" xfId="603"/>
    <cellStyle name="AFE 4 30" xfId="604"/>
    <cellStyle name="AFE 4 31" xfId="605"/>
    <cellStyle name="AFE 4 4" xfId="606"/>
    <cellStyle name="AFE 4 5" xfId="607"/>
    <cellStyle name="AFE 4 5 2" xfId="608"/>
    <cellStyle name="AFE 4 6" xfId="609"/>
    <cellStyle name="AFE 4 6 2" xfId="610"/>
    <cellStyle name="AFE 4 6 3" xfId="611"/>
    <cellStyle name="AFE 4 7" xfId="612"/>
    <cellStyle name="AFE 4 8" xfId="613"/>
    <cellStyle name="AFE 4 9" xfId="614"/>
    <cellStyle name="AFE 40" xfId="615"/>
    <cellStyle name="AFE 41" xfId="616"/>
    <cellStyle name="AFE 42" xfId="617"/>
    <cellStyle name="AFE 43" xfId="618"/>
    <cellStyle name="AFE 44" xfId="619"/>
    <cellStyle name="AFE 45" xfId="620"/>
    <cellStyle name="AFE 46" xfId="621"/>
    <cellStyle name="AFE 47" xfId="622"/>
    <cellStyle name="AFE 48" xfId="623"/>
    <cellStyle name="AFE 49" xfId="624"/>
    <cellStyle name="AFE 5" xfId="625"/>
    <cellStyle name="AFE 50" xfId="626"/>
    <cellStyle name="AFE 51" xfId="627"/>
    <cellStyle name="AFE 52" xfId="628"/>
    <cellStyle name="AFE 53" xfId="629"/>
    <cellStyle name="AFE 54" xfId="630"/>
    <cellStyle name="AFE 55" xfId="631"/>
    <cellStyle name="AFE 56" xfId="632"/>
    <cellStyle name="AFE 6" xfId="633"/>
    <cellStyle name="AFE 6 2" xfId="634"/>
    <cellStyle name="AFE 7" xfId="635"/>
    <cellStyle name="AFE 7 10" xfId="636"/>
    <cellStyle name="AFE 7 11" xfId="637"/>
    <cellStyle name="AFE 7 12" xfId="638"/>
    <cellStyle name="AFE 7 13" xfId="639"/>
    <cellStyle name="AFE 7 14" xfId="640"/>
    <cellStyle name="AFE 7 15" xfId="641"/>
    <cellStyle name="AFE 7 16" xfId="642"/>
    <cellStyle name="AFE 7 17" xfId="643"/>
    <cellStyle name="AFE 7 18" xfId="644"/>
    <cellStyle name="AFE 7 19" xfId="645"/>
    <cellStyle name="AFE 7 2" xfId="646"/>
    <cellStyle name="AFE 7 20" xfId="647"/>
    <cellStyle name="AFE 7 21" xfId="648"/>
    <cellStyle name="AFE 7 22" xfId="649"/>
    <cellStyle name="AFE 7 23" xfId="650"/>
    <cellStyle name="AFE 7 24" xfId="651"/>
    <cellStyle name="AFE 7 25" xfId="652"/>
    <cellStyle name="AFE 7 26" xfId="653"/>
    <cellStyle name="AFE 7 27" xfId="654"/>
    <cellStyle name="AFE 7 28" xfId="655"/>
    <cellStyle name="AFE 7 29" xfId="656"/>
    <cellStyle name="AFE 7 3" xfId="657"/>
    <cellStyle name="AFE 7 30" xfId="658"/>
    <cellStyle name="AFE 7 31" xfId="659"/>
    <cellStyle name="AFE 7 32" xfId="660"/>
    <cellStyle name="AFE 7 4" xfId="661"/>
    <cellStyle name="AFE 7 5" xfId="662"/>
    <cellStyle name="AFE 7 6" xfId="663"/>
    <cellStyle name="AFE 7 7" xfId="664"/>
    <cellStyle name="AFE 7 8" xfId="665"/>
    <cellStyle name="AFE 7 9" xfId="666"/>
    <cellStyle name="AFE 8" xfId="667"/>
    <cellStyle name="AFE 9" xfId="668"/>
    <cellStyle name="AFE 9 10" xfId="669"/>
    <cellStyle name="AFE 9 11" xfId="670"/>
    <cellStyle name="AFE 9 12" xfId="671"/>
    <cellStyle name="AFE 9 13" xfId="672"/>
    <cellStyle name="AFE 9 14" xfId="673"/>
    <cellStyle name="AFE 9 15" xfId="674"/>
    <cellStyle name="AFE 9 16" xfId="675"/>
    <cellStyle name="AFE 9 17" xfId="676"/>
    <cellStyle name="AFE 9 18" xfId="677"/>
    <cellStyle name="AFE 9 19" xfId="678"/>
    <cellStyle name="AFE 9 2" xfId="679"/>
    <cellStyle name="AFE 9 20" xfId="680"/>
    <cellStyle name="AFE 9 21" xfId="681"/>
    <cellStyle name="AFE 9 22" xfId="682"/>
    <cellStyle name="AFE 9 23" xfId="683"/>
    <cellStyle name="AFE 9 3" xfId="684"/>
    <cellStyle name="AFE 9 4" xfId="685"/>
    <cellStyle name="AFE 9 5" xfId="686"/>
    <cellStyle name="AFE 9 6" xfId="687"/>
    <cellStyle name="AFE 9 7" xfId="688"/>
    <cellStyle name="AFE 9 8" xfId="689"/>
    <cellStyle name="AFE 9 9" xfId="690"/>
    <cellStyle name="AFE_FC &amp; rpt costs" xfId="691"/>
    <cellStyle name="Bad 2" xfId="692"/>
    <cellStyle name="Bad 2 2" xfId="693"/>
    <cellStyle name="Bad 2 3" xfId="694"/>
    <cellStyle name="Bad 3" xfId="695"/>
    <cellStyle name="Bad 3 2" xfId="696"/>
    <cellStyle name="Bad 4" xfId="697"/>
    <cellStyle name="Bad 5" xfId="698"/>
    <cellStyle name="Bad 6" xfId="699"/>
    <cellStyle name="Blue" xfId="700"/>
    <cellStyle name="BlueH" xfId="701"/>
    <cellStyle name="Calculated" xfId="702"/>
    <cellStyle name="Calculation 2" xfId="703"/>
    <cellStyle name="Calculation 2 2" xfId="704"/>
    <cellStyle name="Calculation 2 2 2" xfId="705"/>
    <cellStyle name="Calculation 2 3" xfId="706"/>
    <cellStyle name="Calculation 2 3 2" xfId="707"/>
    <cellStyle name="Calculation 2 4" xfId="708"/>
    <cellStyle name="Calculation 3" xfId="709"/>
    <cellStyle name="Calculation 3 2" xfId="710"/>
    <cellStyle name="Calculation 3 2 2" xfId="711"/>
    <cellStyle name="Calculation 3 3" xfId="712"/>
    <cellStyle name="Calculation 4" xfId="713"/>
    <cellStyle name="Calculation 4 2" xfId="714"/>
    <cellStyle name="Calculation 5" xfId="715"/>
    <cellStyle name="Calculation 5 2" xfId="716"/>
    <cellStyle name="Calculation 5 2 2" xfId="717"/>
    <cellStyle name="Calculation 6" xfId="718"/>
    <cellStyle name="Calculation 6 2" xfId="719"/>
    <cellStyle name="Calculation 6 2 2" xfId="720"/>
    <cellStyle name="Calculation 7" xfId="721"/>
    <cellStyle name="Calculation 8" xfId="722"/>
    <cellStyle name="Check Cell 2" xfId="723"/>
    <cellStyle name="Check Cell 2 2" xfId="724"/>
    <cellStyle name="Check Cell 2 3" xfId="725"/>
    <cellStyle name="Check Cell 3" xfId="726"/>
    <cellStyle name="Check Cell 3 2" xfId="727"/>
    <cellStyle name="Check Cell 4" xfId="728"/>
    <cellStyle name="Check Cell 5" xfId="729"/>
    <cellStyle name="Check Cell 5 2" xfId="730"/>
    <cellStyle name="Check Cell 5 2 2" xfId="731"/>
    <cellStyle name="Check Cell 6" xfId="732"/>
    <cellStyle name="Check Cell 6 2" xfId="733"/>
    <cellStyle name="Check Cell 7" xfId="734"/>
    <cellStyle name="Check Cell 8" xfId="735"/>
    <cellStyle name="Comma" xfId="1" builtinId="3"/>
    <cellStyle name="Comma  - Style1" xfId="736"/>
    <cellStyle name="Comma  - Style2" xfId="737"/>
    <cellStyle name="Comma  - Style3" xfId="738"/>
    <cellStyle name="Comma  - Style4" xfId="739"/>
    <cellStyle name="Comma  - Style5" xfId="740"/>
    <cellStyle name="Comma  - Style6" xfId="741"/>
    <cellStyle name="Comma  - Style7" xfId="742"/>
    <cellStyle name="Comma  - Style8" xfId="743"/>
    <cellStyle name="Comma 0" xfId="744"/>
    <cellStyle name="Comma 0 2" xfId="745"/>
    <cellStyle name="Comma 0 2 2" xfId="746"/>
    <cellStyle name="Comma 0 3" xfId="747"/>
    <cellStyle name="Comma 0 3 2" xfId="748"/>
    <cellStyle name="Comma 0 4" xfId="749"/>
    <cellStyle name="Comma 1" xfId="750"/>
    <cellStyle name="Comma 1 2" xfId="751"/>
    <cellStyle name="Comma 1 2 2" xfId="752"/>
    <cellStyle name="Comma 1 3" xfId="753"/>
    <cellStyle name="Comma 1 3 2" xfId="754"/>
    <cellStyle name="Comma 1 4" xfId="755"/>
    <cellStyle name="Comma 10" xfId="756"/>
    <cellStyle name="Comma 10 2" xfId="757"/>
    <cellStyle name="Comma 10 2 2" xfId="758"/>
    <cellStyle name="Comma 10 2 2 2" xfId="759"/>
    <cellStyle name="Comma 10 2 2 2 2" xfId="760"/>
    <cellStyle name="Comma 10 2 2 3" xfId="761"/>
    <cellStyle name="Comma 10 2 2 3 2" xfId="762"/>
    <cellStyle name="Comma 10 2 2 4" xfId="763"/>
    <cellStyle name="Comma 10 2 3" xfId="764"/>
    <cellStyle name="Comma 10 2 3 2" xfId="765"/>
    <cellStyle name="Comma 10 2 3 2 2" xfId="766"/>
    <cellStyle name="Comma 10 2 3 3" xfId="767"/>
    <cellStyle name="Comma 10 2 3 3 2" xfId="768"/>
    <cellStyle name="Comma 10 2 3 4" xfId="769"/>
    <cellStyle name="Comma 10 2 4" xfId="770"/>
    <cellStyle name="Comma 10 2 4 2" xfId="771"/>
    <cellStyle name="Comma 10 2 4 2 2" xfId="772"/>
    <cellStyle name="Comma 10 2 4 3" xfId="773"/>
    <cellStyle name="Comma 10 2 4 3 2" xfId="774"/>
    <cellStyle name="Comma 10 2 4 4" xfId="775"/>
    <cellStyle name="Comma 10 2 5" xfId="776"/>
    <cellStyle name="Comma 10 2 5 2" xfId="777"/>
    <cellStyle name="Comma 10 2 6" xfId="778"/>
    <cellStyle name="Comma 10 2 6 2" xfId="779"/>
    <cellStyle name="Comma 10 2 7" xfId="780"/>
    <cellStyle name="Comma 10 2 8" xfId="781"/>
    <cellStyle name="Comma 10 3" xfId="782"/>
    <cellStyle name="Comma 10 3 2" xfId="783"/>
    <cellStyle name="Comma 10 3 2 2" xfId="784"/>
    <cellStyle name="Comma 10 3 3" xfId="785"/>
    <cellStyle name="Comma 10 3 3 2" xfId="786"/>
    <cellStyle name="Comma 10 3 4" xfId="787"/>
    <cellStyle name="Comma 10 4" xfId="788"/>
    <cellStyle name="Comma 10 4 2" xfId="789"/>
    <cellStyle name="Comma 10 4 2 2" xfId="790"/>
    <cellStyle name="Comma 10 4 3" xfId="791"/>
    <cellStyle name="Comma 10 4 3 2" xfId="792"/>
    <cellStyle name="Comma 10 4 4" xfId="793"/>
    <cellStyle name="Comma 10 5" xfId="794"/>
    <cellStyle name="Comma 10 5 2" xfId="795"/>
    <cellStyle name="Comma 10 5 2 2" xfId="796"/>
    <cellStyle name="Comma 10 5 3" xfId="797"/>
    <cellStyle name="Comma 10 5 3 2" xfId="798"/>
    <cellStyle name="Comma 10 5 4" xfId="799"/>
    <cellStyle name="Comma 10 6" xfId="800"/>
    <cellStyle name="Comma 10 7" xfId="801"/>
    <cellStyle name="Comma 10 8" xfId="802"/>
    <cellStyle name="Comma 10 9" xfId="803"/>
    <cellStyle name="Comma 100" xfId="804"/>
    <cellStyle name="Comma 101" xfId="805"/>
    <cellStyle name="Comma 102" xfId="806"/>
    <cellStyle name="Comma 103" xfId="807"/>
    <cellStyle name="Comma 104" xfId="808"/>
    <cellStyle name="Comma 105" xfId="809"/>
    <cellStyle name="Comma 106" xfId="810"/>
    <cellStyle name="Comma 107" xfId="811"/>
    <cellStyle name="Comma 108" xfId="812"/>
    <cellStyle name="Comma 109" xfId="813"/>
    <cellStyle name="Comma 11" xfId="814"/>
    <cellStyle name="Comma 11 2" xfId="815"/>
    <cellStyle name="Comma 11 3" xfId="816"/>
    <cellStyle name="Comma 11 4" xfId="817"/>
    <cellStyle name="Comma 11 5" xfId="818"/>
    <cellStyle name="Comma 110" xfId="819"/>
    <cellStyle name="Comma 111" xfId="820"/>
    <cellStyle name="Comma 112" xfId="821"/>
    <cellStyle name="Comma 113" xfId="822"/>
    <cellStyle name="Comma 114" xfId="823"/>
    <cellStyle name="Comma 115" xfId="824"/>
    <cellStyle name="Comma 116" xfId="825"/>
    <cellStyle name="Comma 117" xfId="826"/>
    <cellStyle name="Comma 118" xfId="827"/>
    <cellStyle name="Comma 119" xfId="828"/>
    <cellStyle name="Comma 12" xfId="829"/>
    <cellStyle name="Comma 12 2" xfId="830"/>
    <cellStyle name="Comma 12 3" xfId="831"/>
    <cellStyle name="Comma 12 4" xfId="832"/>
    <cellStyle name="Comma 12 5" xfId="833"/>
    <cellStyle name="Comma 120" xfId="834"/>
    <cellStyle name="Comma 121" xfId="835"/>
    <cellStyle name="Comma 122" xfId="836"/>
    <cellStyle name="Comma 123" xfId="837"/>
    <cellStyle name="Comma 124" xfId="838"/>
    <cellStyle name="Comma 125" xfId="839"/>
    <cellStyle name="Comma 126" xfId="840"/>
    <cellStyle name="Comma 127" xfId="841"/>
    <cellStyle name="Comma 128" xfId="842"/>
    <cellStyle name="Comma 129" xfId="843"/>
    <cellStyle name="Comma 13" xfId="844"/>
    <cellStyle name="Comma 13 2" xfId="845"/>
    <cellStyle name="Comma 13 3" xfId="846"/>
    <cellStyle name="Comma 13 4" xfId="847"/>
    <cellStyle name="Comma 13 5" xfId="848"/>
    <cellStyle name="Comma 130" xfId="849"/>
    <cellStyle name="Comma 131" xfId="850"/>
    <cellStyle name="Comma 132" xfId="851"/>
    <cellStyle name="Comma 133" xfId="852"/>
    <cellStyle name="Comma 134" xfId="853"/>
    <cellStyle name="Comma 135" xfId="854"/>
    <cellStyle name="Comma 136" xfId="855"/>
    <cellStyle name="Comma 137" xfId="856"/>
    <cellStyle name="Comma 138" xfId="857"/>
    <cellStyle name="Comma 139" xfId="858"/>
    <cellStyle name="Comma 14" xfId="859"/>
    <cellStyle name="Comma 14 2" xfId="860"/>
    <cellStyle name="Comma 14 3" xfId="861"/>
    <cellStyle name="Comma 14 4" xfId="862"/>
    <cellStyle name="Comma 140" xfId="863"/>
    <cellStyle name="Comma 141" xfId="864"/>
    <cellStyle name="Comma 142" xfId="865"/>
    <cellStyle name="Comma 143" xfId="866"/>
    <cellStyle name="Comma 144" xfId="867"/>
    <cellStyle name="Comma 145" xfId="868"/>
    <cellStyle name="Comma 146" xfId="869"/>
    <cellStyle name="Comma 147" xfId="870"/>
    <cellStyle name="Comma 148" xfId="871"/>
    <cellStyle name="Comma 149" xfId="872"/>
    <cellStyle name="Comma 15" xfId="873"/>
    <cellStyle name="Comma 15 2" xfId="874"/>
    <cellStyle name="Comma 15 3" xfId="875"/>
    <cellStyle name="Comma 15 4" xfId="876"/>
    <cellStyle name="Comma 150" xfId="877"/>
    <cellStyle name="Comma 151" xfId="878"/>
    <cellStyle name="Comma 152" xfId="879"/>
    <cellStyle name="Comma 153" xfId="880"/>
    <cellStyle name="Comma 154" xfId="881"/>
    <cellStyle name="Comma 155" xfId="882"/>
    <cellStyle name="Comma 156" xfId="883"/>
    <cellStyle name="Comma 157" xfId="884"/>
    <cellStyle name="Comma 158" xfId="885"/>
    <cellStyle name="Comma 159" xfId="886"/>
    <cellStyle name="Comma 16" xfId="887"/>
    <cellStyle name="Comma 16 2" xfId="888"/>
    <cellStyle name="Comma 16 3" xfId="889"/>
    <cellStyle name="Comma 16 4" xfId="890"/>
    <cellStyle name="Comma 160" xfId="891"/>
    <cellStyle name="Comma 161" xfId="892"/>
    <cellStyle name="Comma 162" xfId="893"/>
    <cellStyle name="Comma 163" xfId="894"/>
    <cellStyle name="Comma 164" xfId="895"/>
    <cellStyle name="Comma 165" xfId="896"/>
    <cellStyle name="Comma 166" xfId="897"/>
    <cellStyle name="Comma 167" xfId="898"/>
    <cellStyle name="Comma 168" xfId="899"/>
    <cellStyle name="Comma 169" xfId="900"/>
    <cellStyle name="Comma 17" xfId="901"/>
    <cellStyle name="Comma 17 10" xfId="902"/>
    <cellStyle name="Comma 17 11" xfId="903"/>
    <cellStyle name="Comma 17 2" xfId="904"/>
    <cellStyle name="Comma 17 3" xfId="905"/>
    <cellStyle name="Comma 17 4" xfId="906"/>
    <cellStyle name="Comma 17 5" xfId="907"/>
    <cellStyle name="Comma 17 6" xfId="908"/>
    <cellStyle name="Comma 17 7" xfId="909"/>
    <cellStyle name="Comma 17 8" xfId="910"/>
    <cellStyle name="Comma 17 9" xfId="911"/>
    <cellStyle name="Comma 170" xfId="912"/>
    <cellStyle name="Comma 171" xfId="913"/>
    <cellStyle name="Comma 172" xfId="914"/>
    <cellStyle name="Comma 173" xfId="915"/>
    <cellStyle name="Comma 174" xfId="916"/>
    <cellStyle name="Comma 175" xfId="917"/>
    <cellStyle name="Comma 176" xfId="918"/>
    <cellStyle name="Comma 177" xfId="919"/>
    <cellStyle name="Comma 178" xfId="920"/>
    <cellStyle name="Comma 179" xfId="921"/>
    <cellStyle name="Comma 18" xfId="922"/>
    <cellStyle name="Comma 18 10" xfId="923"/>
    <cellStyle name="Comma 18 11" xfId="924"/>
    <cellStyle name="Comma 18 12" xfId="925"/>
    <cellStyle name="Comma 18 2" xfId="926"/>
    <cellStyle name="Comma 18 3" xfId="927"/>
    <cellStyle name="Comma 18 4" xfId="928"/>
    <cellStyle name="Comma 18 5" xfId="929"/>
    <cellStyle name="Comma 18 6" xfId="930"/>
    <cellStyle name="Comma 18 7" xfId="931"/>
    <cellStyle name="Comma 18 8" xfId="932"/>
    <cellStyle name="Comma 18 9" xfId="933"/>
    <cellStyle name="Comma 180" xfId="934"/>
    <cellStyle name="Comma 181" xfId="935"/>
    <cellStyle name="Comma 182" xfId="936"/>
    <cellStyle name="Comma 183" xfId="937"/>
    <cellStyle name="Comma 184" xfId="938"/>
    <cellStyle name="Comma 185" xfId="939"/>
    <cellStyle name="Comma 186" xfId="940"/>
    <cellStyle name="Comma 187" xfId="941"/>
    <cellStyle name="Comma 188" xfId="942"/>
    <cellStyle name="Comma 189" xfId="943"/>
    <cellStyle name="Comma 19" xfId="944"/>
    <cellStyle name="Comma 19 2" xfId="945"/>
    <cellStyle name="Comma 19 3" xfId="946"/>
    <cellStyle name="Comma 19 4" xfId="947"/>
    <cellStyle name="Comma 190" xfId="948"/>
    <cellStyle name="Comma 191" xfId="949"/>
    <cellStyle name="Comma 192" xfId="950"/>
    <cellStyle name="Comma 193" xfId="951"/>
    <cellStyle name="Comma 194" xfId="952"/>
    <cellStyle name="Comma 195" xfId="953"/>
    <cellStyle name="Comma 196" xfId="954"/>
    <cellStyle name="Comma 197" xfId="955"/>
    <cellStyle name="Comma 198" xfId="956"/>
    <cellStyle name="Comma 199" xfId="957"/>
    <cellStyle name="Comma 2" xfId="958"/>
    <cellStyle name="Comma 2 10" xfId="959"/>
    <cellStyle name="Comma 2 11" xfId="960"/>
    <cellStyle name="Comma 2 12" xfId="961"/>
    <cellStyle name="Comma 2 13" xfId="962"/>
    <cellStyle name="Comma 2 14" xfId="963"/>
    <cellStyle name="Comma 2 15" xfId="964"/>
    <cellStyle name="Comma 2 15 2" xfId="965"/>
    <cellStyle name="Comma 2 15 3" xfId="966"/>
    <cellStyle name="Comma 2 16" xfId="967"/>
    <cellStyle name="Comma 2 2" xfId="968"/>
    <cellStyle name="Comma 2 2 10" xfId="969"/>
    <cellStyle name="Comma 2 2 11" xfId="970"/>
    <cellStyle name="Comma 2 2 12" xfId="971"/>
    <cellStyle name="Comma 2 2 13" xfId="972"/>
    <cellStyle name="Comma 2 2 14" xfId="973"/>
    <cellStyle name="Comma 2 2 15" xfId="974"/>
    <cellStyle name="Comma 2 2 16" xfId="975"/>
    <cellStyle name="Comma 2 2 17" xfId="976"/>
    <cellStyle name="Comma 2 2 18" xfId="977"/>
    <cellStyle name="Comma 2 2 19" xfId="978"/>
    <cellStyle name="Comma 2 2 2" xfId="979"/>
    <cellStyle name="Comma 2 2 2 2" xfId="980"/>
    <cellStyle name="Comma 2 2 2 2 2" xfId="981"/>
    <cellStyle name="Comma 2 2 2 2 3" xfId="982"/>
    <cellStyle name="Comma 2 2 2 3" xfId="983"/>
    <cellStyle name="Comma 2 2 2 4" xfId="984"/>
    <cellStyle name="Comma 2 2 2 5" xfId="985"/>
    <cellStyle name="Comma 2 2 20" xfId="986"/>
    <cellStyle name="Comma 2 2 21" xfId="987"/>
    <cellStyle name="Comma 2 2 22" xfId="988"/>
    <cellStyle name="Comma 2 2 3" xfId="989"/>
    <cellStyle name="Comma 2 2 3 2" xfId="990"/>
    <cellStyle name="Comma 2 2 4" xfId="991"/>
    <cellStyle name="Comma 2 2 4 2" xfId="992"/>
    <cellStyle name="Comma 2 2 4 3" xfId="993"/>
    <cellStyle name="Comma 2 2 5" xfId="994"/>
    <cellStyle name="Comma 2 2 5 2" xfId="995"/>
    <cellStyle name="Comma 2 2 6" xfId="996"/>
    <cellStyle name="Comma 2 2 7" xfId="997"/>
    <cellStyle name="Comma 2 2 8" xfId="998"/>
    <cellStyle name="Comma 2 2 9" xfId="999"/>
    <cellStyle name="Comma 2 3" xfId="1000"/>
    <cellStyle name="Comma 2 3 2" xfId="1001"/>
    <cellStyle name="Comma 2 3 2 2" xfId="1002"/>
    <cellStyle name="Comma 2 3 3" xfId="1003"/>
    <cellStyle name="Comma 2 3 4" xfId="1004"/>
    <cellStyle name="Comma 2 4" xfId="1005"/>
    <cellStyle name="Comma 2 4 2" xfId="1006"/>
    <cellStyle name="Comma 2 4 3" xfId="1007"/>
    <cellStyle name="Comma 2 5" xfId="1008"/>
    <cellStyle name="Comma 2 5 2" xfId="1009"/>
    <cellStyle name="Comma 2 6" xfId="1010"/>
    <cellStyle name="Comma 2 6 2" xfId="1011"/>
    <cellStyle name="Comma 2 7" xfId="1012"/>
    <cellStyle name="Comma 2 8" xfId="1013"/>
    <cellStyle name="Comma 2 9" xfId="1014"/>
    <cellStyle name="Comma 20" xfId="1015"/>
    <cellStyle name="Comma 20 2" xfId="1016"/>
    <cellStyle name="Comma 20 3" xfId="1017"/>
    <cellStyle name="Comma 20 4" xfId="1018"/>
    <cellStyle name="Comma 200" xfId="1019"/>
    <cellStyle name="Comma 201" xfId="1020"/>
    <cellStyle name="Comma 202" xfId="1021"/>
    <cellStyle name="Comma 203" xfId="1022"/>
    <cellStyle name="Comma 204" xfId="1023"/>
    <cellStyle name="Comma 205" xfId="1024"/>
    <cellStyle name="Comma 206" xfId="1025"/>
    <cellStyle name="Comma 207" xfId="1026"/>
    <cellStyle name="Comma 208" xfId="1027"/>
    <cellStyle name="Comma 209" xfId="1028"/>
    <cellStyle name="Comma 21" xfId="1029"/>
    <cellStyle name="Comma 21 2" xfId="1030"/>
    <cellStyle name="Comma 21 3" xfId="1031"/>
    <cellStyle name="Comma 21 4" xfId="1032"/>
    <cellStyle name="Comma 210" xfId="1033"/>
    <cellStyle name="Comma 211" xfId="1034"/>
    <cellStyle name="Comma 212" xfId="1035"/>
    <cellStyle name="Comma 213" xfId="1036"/>
    <cellStyle name="Comma 214" xfId="1037"/>
    <cellStyle name="Comma 215" xfId="1038"/>
    <cellStyle name="Comma 216" xfId="1039"/>
    <cellStyle name="Comma 217" xfId="1040"/>
    <cellStyle name="Comma 218" xfId="1041"/>
    <cellStyle name="Comma 219" xfId="1042"/>
    <cellStyle name="Comma 22" xfId="1043"/>
    <cellStyle name="Comma 22 2" xfId="1044"/>
    <cellStyle name="Comma 22 3" xfId="1045"/>
    <cellStyle name="Comma 22 4" xfId="1046"/>
    <cellStyle name="Comma 23" xfId="1047"/>
    <cellStyle name="Comma 23 2" xfId="1048"/>
    <cellStyle name="Comma 23 3" xfId="1049"/>
    <cellStyle name="Comma 23 4" xfId="1050"/>
    <cellStyle name="Comma 24" xfId="1051"/>
    <cellStyle name="Comma 24 2" xfId="1052"/>
    <cellStyle name="Comma 24 3" xfId="1053"/>
    <cellStyle name="Comma 24 4" xfId="1054"/>
    <cellStyle name="Comma 25" xfId="1055"/>
    <cellStyle name="Comma 25 2" xfId="1056"/>
    <cellStyle name="Comma 25 3" xfId="1057"/>
    <cellStyle name="Comma 25 4" xfId="1058"/>
    <cellStyle name="Comma 26" xfId="1059"/>
    <cellStyle name="Comma 26 2" xfId="1060"/>
    <cellStyle name="Comma 26 3" xfId="1061"/>
    <cellStyle name="Comma 26 4" xfId="1062"/>
    <cellStyle name="Comma 27" xfId="1063"/>
    <cellStyle name="Comma 27 2" xfId="1064"/>
    <cellStyle name="Comma 27 3" xfId="1065"/>
    <cellStyle name="Comma 27 4" xfId="1066"/>
    <cellStyle name="Comma 28" xfId="1067"/>
    <cellStyle name="Comma 28 2" xfId="1068"/>
    <cellStyle name="Comma 29" xfId="1069"/>
    <cellStyle name="Comma 29 2" xfId="1070"/>
    <cellStyle name="Comma 3" xfId="1071"/>
    <cellStyle name="Comma 3 10" xfId="1072"/>
    <cellStyle name="Comma 3 10 2" xfId="1073"/>
    <cellStyle name="Comma 3 10 3" xfId="1074"/>
    <cellStyle name="Comma 3 10 3 2" xfId="1075"/>
    <cellStyle name="Comma 3 10 4" xfId="1076"/>
    <cellStyle name="Comma 3 10 4 2" xfId="1077"/>
    <cellStyle name="Comma 3 10 5" xfId="1078"/>
    <cellStyle name="Comma 3 11" xfId="1079"/>
    <cellStyle name="Comma 3 12" xfId="1080"/>
    <cellStyle name="Comma 3 13" xfId="1081"/>
    <cellStyle name="Comma 3 14" xfId="1082"/>
    <cellStyle name="Comma 3 15" xfId="1083"/>
    <cellStyle name="Comma 3 16" xfId="1084"/>
    <cellStyle name="Comma 3 17" xfId="1085"/>
    <cellStyle name="Comma 3 18" xfId="1086"/>
    <cellStyle name="Comma 3 18 2" xfId="1087"/>
    <cellStyle name="Comma 3 18 2 2" xfId="1088"/>
    <cellStyle name="Comma 3 18 3" xfId="1089"/>
    <cellStyle name="Comma 3 18 3 2" xfId="1090"/>
    <cellStyle name="Comma 3 18 4" xfId="1091"/>
    <cellStyle name="Comma 3 19" xfId="1092"/>
    <cellStyle name="Comma 3 2" xfId="1093"/>
    <cellStyle name="Comma 3 2 2" xfId="1094"/>
    <cellStyle name="Comma 3 2 2 2" xfId="1095"/>
    <cellStyle name="Comma 3 2 3" xfId="1096"/>
    <cellStyle name="Comma 3 20" xfId="1097"/>
    <cellStyle name="Comma 3 21" xfId="1098"/>
    <cellStyle name="Comma 3 22" xfId="1099"/>
    <cellStyle name="Comma 3 3" xfId="1100"/>
    <cellStyle name="Comma 3 3 10" xfId="1101"/>
    <cellStyle name="Comma 3 3 11" xfId="1102"/>
    <cellStyle name="Comma 3 3 2" xfId="1103"/>
    <cellStyle name="Comma 3 3 2 2" xfId="1104"/>
    <cellStyle name="Comma 3 3 2 2 2" xfId="1105"/>
    <cellStyle name="Comma 3 3 2 2 2 2" xfId="1106"/>
    <cellStyle name="Comma 3 3 2 2 2 2 2" xfId="1107"/>
    <cellStyle name="Comma 3 3 2 2 2 3" xfId="1108"/>
    <cellStyle name="Comma 3 3 2 2 2 3 2" xfId="1109"/>
    <cellStyle name="Comma 3 3 2 2 2 4" xfId="1110"/>
    <cellStyle name="Comma 3 3 2 2 3" xfId="1111"/>
    <cellStyle name="Comma 3 3 2 2 3 2" xfId="1112"/>
    <cellStyle name="Comma 3 3 2 2 3 2 2" xfId="1113"/>
    <cellStyle name="Comma 3 3 2 2 3 3" xfId="1114"/>
    <cellStyle name="Comma 3 3 2 2 3 3 2" xfId="1115"/>
    <cellStyle name="Comma 3 3 2 2 3 4" xfId="1116"/>
    <cellStyle name="Comma 3 3 2 2 4" xfId="1117"/>
    <cellStyle name="Comma 3 3 2 2 4 2" xfId="1118"/>
    <cellStyle name="Comma 3 3 2 2 4 2 2" xfId="1119"/>
    <cellStyle name="Comma 3 3 2 2 4 3" xfId="1120"/>
    <cellStyle name="Comma 3 3 2 2 4 3 2" xfId="1121"/>
    <cellStyle name="Comma 3 3 2 2 4 4" xfId="1122"/>
    <cellStyle name="Comma 3 3 2 2 5" xfId="1123"/>
    <cellStyle name="Comma 3 3 2 2 5 2" xfId="1124"/>
    <cellStyle name="Comma 3 3 2 2 6" xfId="1125"/>
    <cellStyle name="Comma 3 3 2 2 6 2" xfId="1126"/>
    <cellStyle name="Comma 3 3 2 2 7" xfId="1127"/>
    <cellStyle name="Comma 3 3 2 2 8" xfId="1128"/>
    <cellStyle name="Comma 3 3 2 3" xfId="1129"/>
    <cellStyle name="Comma 3 3 2 3 2" xfId="1130"/>
    <cellStyle name="Comma 3 3 2 3 2 2" xfId="1131"/>
    <cellStyle name="Comma 3 3 2 3 3" xfId="1132"/>
    <cellStyle name="Comma 3 3 2 3 3 2" xfId="1133"/>
    <cellStyle name="Comma 3 3 2 3 4" xfId="1134"/>
    <cellStyle name="Comma 3 3 2 4" xfId="1135"/>
    <cellStyle name="Comma 3 3 2 4 2" xfId="1136"/>
    <cellStyle name="Comma 3 3 2 4 2 2" xfId="1137"/>
    <cellStyle name="Comma 3 3 2 4 3" xfId="1138"/>
    <cellStyle name="Comma 3 3 2 4 3 2" xfId="1139"/>
    <cellStyle name="Comma 3 3 2 4 4" xfId="1140"/>
    <cellStyle name="Comma 3 3 2 5" xfId="1141"/>
    <cellStyle name="Comma 3 3 2 5 2" xfId="1142"/>
    <cellStyle name="Comma 3 3 2 5 2 2" xfId="1143"/>
    <cellStyle name="Comma 3 3 2 5 3" xfId="1144"/>
    <cellStyle name="Comma 3 3 2 5 3 2" xfId="1145"/>
    <cellStyle name="Comma 3 3 2 5 4" xfId="1146"/>
    <cellStyle name="Comma 3 3 2 6" xfId="1147"/>
    <cellStyle name="Comma 3 3 2 6 2" xfId="1148"/>
    <cellStyle name="Comma 3 3 2 7" xfId="1149"/>
    <cellStyle name="Comma 3 3 2 7 2" xfId="1150"/>
    <cellStyle name="Comma 3 3 2 8" xfId="1151"/>
    <cellStyle name="Comma 3 3 2 9" xfId="1152"/>
    <cellStyle name="Comma 3 3 3" xfId="1153"/>
    <cellStyle name="Comma 3 3 3 2" xfId="1154"/>
    <cellStyle name="Comma 3 3 3 2 2" xfId="1155"/>
    <cellStyle name="Comma 3 3 3 2 2 2" xfId="1156"/>
    <cellStyle name="Comma 3 3 3 2 2 2 2" xfId="1157"/>
    <cellStyle name="Comma 3 3 3 2 2 3" xfId="1158"/>
    <cellStyle name="Comma 3 3 3 2 2 3 2" xfId="1159"/>
    <cellStyle name="Comma 3 3 3 2 2 4" xfId="1160"/>
    <cellStyle name="Comma 3 3 3 2 3" xfId="1161"/>
    <cellStyle name="Comma 3 3 3 2 3 2" xfId="1162"/>
    <cellStyle name="Comma 3 3 3 2 3 2 2" xfId="1163"/>
    <cellStyle name="Comma 3 3 3 2 3 3" xfId="1164"/>
    <cellStyle name="Comma 3 3 3 2 3 3 2" xfId="1165"/>
    <cellStyle name="Comma 3 3 3 2 3 4" xfId="1166"/>
    <cellStyle name="Comma 3 3 3 2 4" xfId="1167"/>
    <cellStyle name="Comma 3 3 3 2 4 2" xfId="1168"/>
    <cellStyle name="Comma 3 3 3 2 4 2 2" xfId="1169"/>
    <cellStyle name="Comma 3 3 3 2 4 3" xfId="1170"/>
    <cellStyle name="Comma 3 3 3 2 4 3 2" xfId="1171"/>
    <cellStyle name="Comma 3 3 3 2 4 4" xfId="1172"/>
    <cellStyle name="Comma 3 3 3 2 5" xfId="1173"/>
    <cellStyle name="Comma 3 3 3 2 5 2" xfId="1174"/>
    <cellStyle name="Comma 3 3 3 2 6" xfId="1175"/>
    <cellStyle name="Comma 3 3 3 2 6 2" xfId="1176"/>
    <cellStyle name="Comma 3 3 3 2 7" xfId="1177"/>
    <cellStyle name="Comma 3 3 3 2 8" xfId="1178"/>
    <cellStyle name="Comma 3 3 3 3" xfId="1179"/>
    <cellStyle name="Comma 3 3 3 3 2" xfId="1180"/>
    <cellStyle name="Comma 3 3 3 3 2 2" xfId="1181"/>
    <cellStyle name="Comma 3 3 3 3 3" xfId="1182"/>
    <cellStyle name="Comma 3 3 3 3 3 2" xfId="1183"/>
    <cellStyle name="Comma 3 3 3 3 4" xfId="1184"/>
    <cellStyle name="Comma 3 3 3 4" xfId="1185"/>
    <cellStyle name="Comma 3 3 3 4 2" xfId="1186"/>
    <cellStyle name="Comma 3 3 3 4 2 2" xfId="1187"/>
    <cellStyle name="Comma 3 3 3 4 3" xfId="1188"/>
    <cellStyle name="Comma 3 3 3 4 3 2" xfId="1189"/>
    <cellStyle name="Comma 3 3 3 4 4" xfId="1190"/>
    <cellStyle name="Comma 3 3 3 5" xfId="1191"/>
    <cellStyle name="Comma 3 3 3 5 2" xfId="1192"/>
    <cellStyle name="Comma 3 3 3 5 2 2" xfId="1193"/>
    <cellStyle name="Comma 3 3 3 5 3" xfId="1194"/>
    <cellStyle name="Comma 3 3 3 5 3 2" xfId="1195"/>
    <cellStyle name="Comma 3 3 3 5 4" xfId="1196"/>
    <cellStyle name="Comma 3 3 3 6" xfId="1197"/>
    <cellStyle name="Comma 3 3 3 6 2" xfId="1198"/>
    <cellStyle name="Comma 3 3 3 7" xfId="1199"/>
    <cellStyle name="Comma 3 3 3 7 2" xfId="1200"/>
    <cellStyle name="Comma 3 3 3 8" xfId="1201"/>
    <cellStyle name="Comma 3 3 3 9" xfId="1202"/>
    <cellStyle name="Comma 3 3 4" xfId="1203"/>
    <cellStyle name="Comma 3 3 4 2" xfId="1204"/>
    <cellStyle name="Comma 3 3 4 2 2" xfId="1205"/>
    <cellStyle name="Comma 3 3 4 2 2 2" xfId="1206"/>
    <cellStyle name="Comma 3 3 4 2 3" xfId="1207"/>
    <cellStyle name="Comma 3 3 4 2 3 2" xfId="1208"/>
    <cellStyle name="Comma 3 3 4 2 4" xfId="1209"/>
    <cellStyle name="Comma 3 3 4 3" xfId="1210"/>
    <cellStyle name="Comma 3 3 4 3 2" xfId="1211"/>
    <cellStyle name="Comma 3 3 4 3 2 2" xfId="1212"/>
    <cellStyle name="Comma 3 3 4 3 3" xfId="1213"/>
    <cellStyle name="Comma 3 3 4 3 3 2" xfId="1214"/>
    <cellStyle name="Comma 3 3 4 3 4" xfId="1215"/>
    <cellStyle name="Comma 3 3 4 4" xfId="1216"/>
    <cellStyle name="Comma 3 3 4 4 2" xfId="1217"/>
    <cellStyle name="Comma 3 3 4 4 2 2" xfId="1218"/>
    <cellStyle name="Comma 3 3 4 4 3" xfId="1219"/>
    <cellStyle name="Comma 3 3 4 4 3 2" xfId="1220"/>
    <cellStyle name="Comma 3 3 4 4 4" xfId="1221"/>
    <cellStyle name="Comma 3 3 4 5" xfId="1222"/>
    <cellStyle name="Comma 3 3 4 5 2" xfId="1223"/>
    <cellStyle name="Comma 3 3 4 6" xfId="1224"/>
    <cellStyle name="Comma 3 3 4 6 2" xfId="1225"/>
    <cellStyle name="Comma 3 3 4 7" xfId="1226"/>
    <cellStyle name="Comma 3 3 4 8" xfId="1227"/>
    <cellStyle name="Comma 3 3 5" xfId="1228"/>
    <cellStyle name="Comma 3 3 5 2" xfId="1229"/>
    <cellStyle name="Comma 3 3 5 3" xfId="1230"/>
    <cellStyle name="Comma 3 3 5 3 2" xfId="1231"/>
    <cellStyle name="Comma 3 3 5 4" xfId="1232"/>
    <cellStyle name="Comma 3 3 5 4 2" xfId="1233"/>
    <cellStyle name="Comma 3 3 5 5" xfId="1234"/>
    <cellStyle name="Comma 3 3 6" xfId="1235"/>
    <cellStyle name="Comma 3 3 6 2" xfId="1236"/>
    <cellStyle name="Comma 3 3 6 2 2" xfId="1237"/>
    <cellStyle name="Comma 3 3 6 3" xfId="1238"/>
    <cellStyle name="Comma 3 3 6 3 2" xfId="1239"/>
    <cellStyle name="Comma 3 3 6 4" xfId="1240"/>
    <cellStyle name="Comma 3 3 7" xfId="1241"/>
    <cellStyle name="Comma 3 3 7 2" xfId="1242"/>
    <cellStyle name="Comma 3 3 7 2 2" xfId="1243"/>
    <cellStyle name="Comma 3 3 7 3" xfId="1244"/>
    <cellStyle name="Comma 3 3 7 3 2" xfId="1245"/>
    <cellStyle name="Comma 3 3 7 4" xfId="1246"/>
    <cellStyle name="Comma 3 3 8" xfId="1247"/>
    <cellStyle name="Comma 3 3 8 2" xfId="1248"/>
    <cellStyle name="Comma 3 3 9" xfId="1249"/>
    <cellStyle name="Comma 3 3 9 2" xfId="1250"/>
    <cellStyle name="Comma 3 4" xfId="1251"/>
    <cellStyle name="Comma 3 4 2" xfId="1252"/>
    <cellStyle name="Comma 3 4 2 2" xfId="1253"/>
    <cellStyle name="Comma 3 4 2 2 2" xfId="1254"/>
    <cellStyle name="Comma 3 4 2 2 2 2" xfId="1255"/>
    <cellStyle name="Comma 3 4 2 2 3" xfId="1256"/>
    <cellStyle name="Comma 3 4 2 2 3 2" xfId="1257"/>
    <cellStyle name="Comma 3 4 2 2 4" xfId="1258"/>
    <cellStyle name="Comma 3 4 2 3" xfId="1259"/>
    <cellStyle name="Comma 3 4 2 3 2" xfId="1260"/>
    <cellStyle name="Comma 3 4 2 3 2 2" xfId="1261"/>
    <cellStyle name="Comma 3 4 2 3 3" xfId="1262"/>
    <cellStyle name="Comma 3 4 2 3 3 2" xfId="1263"/>
    <cellStyle name="Comma 3 4 2 3 4" xfId="1264"/>
    <cellStyle name="Comma 3 4 2 4" xfId="1265"/>
    <cellStyle name="Comma 3 4 2 4 2" xfId="1266"/>
    <cellStyle name="Comma 3 4 2 4 2 2" xfId="1267"/>
    <cellStyle name="Comma 3 4 2 4 3" xfId="1268"/>
    <cellStyle name="Comma 3 4 2 4 3 2" xfId="1269"/>
    <cellStyle name="Comma 3 4 2 4 4" xfId="1270"/>
    <cellStyle name="Comma 3 4 2 5" xfId="1271"/>
    <cellStyle name="Comma 3 4 2 5 2" xfId="1272"/>
    <cellStyle name="Comma 3 4 2 6" xfId="1273"/>
    <cellStyle name="Comma 3 4 2 6 2" xfId="1274"/>
    <cellStyle name="Comma 3 4 2 7" xfId="1275"/>
    <cellStyle name="Comma 3 4 2 8" xfId="1276"/>
    <cellStyle name="Comma 3 4 3" xfId="1277"/>
    <cellStyle name="Comma 3 4 3 2" xfId="1278"/>
    <cellStyle name="Comma 3 4 3 3" xfId="1279"/>
    <cellStyle name="Comma 3 4 3 3 2" xfId="1280"/>
    <cellStyle name="Comma 3 4 3 4" xfId="1281"/>
    <cellStyle name="Comma 3 4 3 4 2" xfId="1282"/>
    <cellStyle name="Comma 3 4 3 5" xfId="1283"/>
    <cellStyle name="Comma 3 4 4" xfId="1284"/>
    <cellStyle name="Comma 3 4 4 2" xfId="1285"/>
    <cellStyle name="Comma 3 4 4 2 2" xfId="1286"/>
    <cellStyle name="Comma 3 4 4 3" xfId="1287"/>
    <cellStyle name="Comma 3 4 4 3 2" xfId="1288"/>
    <cellStyle name="Comma 3 4 4 4" xfId="1289"/>
    <cellStyle name="Comma 3 4 5" xfId="1290"/>
    <cellStyle name="Comma 3 4 5 2" xfId="1291"/>
    <cellStyle name="Comma 3 4 5 2 2" xfId="1292"/>
    <cellStyle name="Comma 3 4 5 3" xfId="1293"/>
    <cellStyle name="Comma 3 4 5 3 2" xfId="1294"/>
    <cellStyle name="Comma 3 4 5 4" xfId="1295"/>
    <cellStyle name="Comma 3 4 6" xfId="1296"/>
    <cellStyle name="Comma 3 4 6 2" xfId="1297"/>
    <cellStyle name="Comma 3 4 7" xfId="1298"/>
    <cellStyle name="Comma 3 4 7 2" xfId="1299"/>
    <cellStyle name="Comma 3 4 8" xfId="1300"/>
    <cellStyle name="Comma 3 4 9" xfId="1301"/>
    <cellStyle name="Comma 3 5" xfId="1302"/>
    <cellStyle name="Comma 3 5 2" xfId="1303"/>
    <cellStyle name="Comma 3 5 2 2" xfId="1304"/>
    <cellStyle name="Comma 3 5 2 2 2" xfId="1305"/>
    <cellStyle name="Comma 3 5 2 2 2 2" xfId="1306"/>
    <cellStyle name="Comma 3 5 2 2 3" xfId="1307"/>
    <cellStyle name="Comma 3 5 2 2 3 2" xfId="1308"/>
    <cellStyle name="Comma 3 5 2 2 4" xfId="1309"/>
    <cellStyle name="Comma 3 5 2 3" xfId="1310"/>
    <cellStyle name="Comma 3 5 2 3 2" xfId="1311"/>
    <cellStyle name="Comma 3 5 2 3 2 2" xfId="1312"/>
    <cellStyle name="Comma 3 5 2 3 3" xfId="1313"/>
    <cellStyle name="Comma 3 5 2 3 3 2" xfId="1314"/>
    <cellStyle name="Comma 3 5 2 3 4" xfId="1315"/>
    <cellStyle name="Comma 3 5 2 4" xfId="1316"/>
    <cellStyle name="Comma 3 5 2 4 2" xfId="1317"/>
    <cellStyle name="Comma 3 5 2 4 2 2" xfId="1318"/>
    <cellStyle name="Comma 3 5 2 4 3" xfId="1319"/>
    <cellStyle name="Comma 3 5 2 4 3 2" xfId="1320"/>
    <cellStyle name="Comma 3 5 2 4 4" xfId="1321"/>
    <cellStyle name="Comma 3 5 2 5" xfId="1322"/>
    <cellStyle name="Comma 3 5 2 5 2" xfId="1323"/>
    <cellStyle name="Comma 3 5 2 6" xfId="1324"/>
    <cellStyle name="Comma 3 5 2 6 2" xfId="1325"/>
    <cellStyle name="Comma 3 5 2 7" xfId="1326"/>
    <cellStyle name="Comma 3 5 2 8" xfId="1327"/>
    <cellStyle name="Comma 3 5 3" xfId="1328"/>
    <cellStyle name="Comma 3 5 3 2" xfId="1329"/>
    <cellStyle name="Comma 3 5 3 3" xfId="1330"/>
    <cellStyle name="Comma 3 5 3 3 2" xfId="1331"/>
    <cellStyle name="Comma 3 5 3 4" xfId="1332"/>
    <cellStyle name="Comma 3 5 3 4 2" xfId="1333"/>
    <cellStyle name="Comma 3 5 3 5" xfId="1334"/>
    <cellStyle name="Comma 3 5 4" xfId="1335"/>
    <cellStyle name="Comma 3 5 4 2" xfId="1336"/>
    <cellStyle name="Comma 3 5 4 2 2" xfId="1337"/>
    <cellStyle name="Comma 3 5 4 3" xfId="1338"/>
    <cellStyle name="Comma 3 5 4 3 2" xfId="1339"/>
    <cellStyle name="Comma 3 5 4 4" xfId="1340"/>
    <cellStyle name="Comma 3 5 5" xfId="1341"/>
    <cellStyle name="Comma 3 5 5 2" xfId="1342"/>
    <cellStyle name="Comma 3 5 5 2 2" xfId="1343"/>
    <cellStyle name="Comma 3 5 5 3" xfId="1344"/>
    <cellStyle name="Comma 3 5 5 3 2" xfId="1345"/>
    <cellStyle name="Comma 3 5 5 4" xfId="1346"/>
    <cellStyle name="Comma 3 5 6" xfId="1347"/>
    <cellStyle name="Comma 3 5 6 2" xfId="1348"/>
    <cellStyle name="Comma 3 5 7" xfId="1349"/>
    <cellStyle name="Comma 3 5 7 2" xfId="1350"/>
    <cellStyle name="Comma 3 5 8" xfId="1351"/>
    <cellStyle name="Comma 3 5 9" xfId="1352"/>
    <cellStyle name="Comma 3 6" xfId="1353"/>
    <cellStyle name="Comma 3 6 2" xfId="1354"/>
    <cellStyle name="Comma 3 6 2 2" xfId="1355"/>
    <cellStyle name="Comma 3 6 2 3" xfId="1356"/>
    <cellStyle name="Comma 3 6 2 3 2" xfId="1357"/>
    <cellStyle name="Comma 3 6 2 4" xfId="1358"/>
    <cellStyle name="Comma 3 6 2 4 2" xfId="1359"/>
    <cellStyle name="Comma 3 6 2 5" xfId="1360"/>
    <cellStyle name="Comma 3 6 3" xfId="1361"/>
    <cellStyle name="Comma 3 6 3 2" xfId="1362"/>
    <cellStyle name="Comma 3 6 3 2 2" xfId="1363"/>
    <cellStyle name="Comma 3 6 3 3" xfId="1364"/>
    <cellStyle name="Comma 3 6 3 3 2" xfId="1365"/>
    <cellStyle name="Comma 3 6 3 4" xfId="1366"/>
    <cellStyle name="Comma 3 6 4" xfId="1367"/>
    <cellStyle name="Comma 3 6 4 2" xfId="1368"/>
    <cellStyle name="Comma 3 6 4 2 2" xfId="1369"/>
    <cellStyle name="Comma 3 6 4 3" xfId="1370"/>
    <cellStyle name="Comma 3 6 4 3 2" xfId="1371"/>
    <cellStyle name="Comma 3 6 4 4" xfId="1372"/>
    <cellStyle name="Comma 3 6 5" xfId="1373"/>
    <cellStyle name="Comma 3 6 5 2" xfId="1374"/>
    <cellStyle name="Comma 3 6 6" xfId="1375"/>
    <cellStyle name="Comma 3 6 6 2" xfId="1376"/>
    <cellStyle name="Comma 3 6 7" xfId="1377"/>
    <cellStyle name="Comma 3 6 8" xfId="1378"/>
    <cellStyle name="Comma 3 7" xfId="1379"/>
    <cellStyle name="Comma 3 7 2" xfId="1380"/>
    <cellStyle name="Comma 3 7 3" xfId="1381"/>
    <cellStyle name="Comma 3 7 3 2" xfId="1382"/>
    <cellStyle name="Comma 3 7 4" xfId="1383"/>
    <cellStyle name="Comma 3 7 4 2" xfId="1384"/>
    <cellStyle name="Comma 3 7 5" xfId="1385"/>
    <cellStyle name="Comma 3 7 6" xfId="1386"/>
    <cellStyle name="Comma 3 8" xfId="1387"/>
    <cellStyle name="Comma 3 8 2" xfId="1388"/>
    <cellStyle name="Comma 3 8 3" xfId="1389"/>
    <cellStyle name="Comma 3 8 3 2" xfId="1390"/>
    <cellStyle name="Comma 3 8 4" xfId="1391"/>
    <cellStyle name="Comma 3 8 4 2" xfId="1392"/>
    <cellStyle name="Comma 3 8 5" xfId="1393"/>
    <cellStyle name="Comma 3 9" xfId="1394"/>
    <cellStyle name="Comma 3 9 2" xfId="1395"/>
    <cellStyle name="Comma 3 9 3" xfId="1396"/>
    <cellStyle name="Comma 3 9 3 2" xfId="1397"/>
    <cellStyle name="Comma 3 9 4" xfId="1398"/>
    <cellStyle name="Comma 3 9 4 2" xfId="1399"/>
    <cellStyle name="Comma 3 9 5" xfId="1400"/>
    <cellStyle name="Comma 30" xfId="1401"/>
    <cellStyle name="Comma 30 2" xfId="1402"/>
    <cellStyle name="Comma 31" xfId="1403"/>
    <cellStyle name="Comma 31 2" xfId="1404"/>
    <cellStyle name="Comma 32" xfId="1405"/>
    <cellStyle name="Comma 32 2" xfId="1406"/>
    <cellStyle name="Comma 33" xfId="1407"/>
    <cellStyle name="Comma 33 2" xfId="1408"/>
    <cellStyle name="Comma 34" xfId="1409"/>
    <cellStyle name="Comma 34 2" xfId="1410"/>
    <cellStyle name="Comma 35" xfId="1411"/>
    <cellStyle name="Comma 35 2" xfId="1412"/>
    <cellStyle name="Comma 36" xfId="1413"/>
    <cellStyle name="Comma 36 2" xfId="1414"/>
    <cellStyle name="Comma 37" xfId="1415"/>
    <cellStyle name="Comma 38" xfId="1416"/>
    <cellStyle name="Comma 39" xfId="1417"/>
    <cellStyle name="Comma 4" xfId="1418"/>
    <cellStyle name="Comma 4 10" xfId="1419"/>
    <cellStyle name="Comma 4 2" xfId="1420"/>
    <cellStyle name="Comma 4 2 10" xfId="1421"/>
    <cellStyle name="Comma 4 2 2" xfId="1422"/>
    <cellStyle name="Comma 4 2 2 2" xfId="1423"/>
    <cellStyle name="Comma 4 2 2 2 2" xfId="1424"/>
    <cellStyle name="Comma 4 2 2 2 2 2" xfId="1425"/>
    <cellStyle name="Comma 4 2 2 2 3" xfId="1426"/>
    <cellStyle name="Comma 4 2 2 2 3 2" xfId="1427"/>
    <cellStyle name="Comma 4 2 2 2 4" xfId="1428"/>
    <cellStyle name="Comma 4 2 2 3" xfId="1429"/>
    <cellStyle name="Comma 4 2 2 3 2" xfId="1430"/>
    <cellStyle name="Comma 4 2 2 3 2 2" xfId="1431"/>
    <cellStyle name="Comma 4 2 2 3 3" xfId="1432"/>
    <cellStyle name="Comma 4 2 2 3 3 2" xfId="1433"/>
    <cellStyle name="Comma 4 2 2 3 4" xfId="1434"/>
    <cellStyle name="Comma 4 2 2 4" xfId="1435"/>
    <cellStyle name="Comma 4 2 2 4 2" xfId="1436"/>
    <cellStyle name="Comma 4 2 2 4 2 2" xfId="1437"/>
    <cellStyle name="Comma 4 2 2 4 3" xfId="1438"/>
    <cellStyle name="Comma 4 2 2 4 3 2" xfId="1439"/>
    <cellStyle name="Comma 4 2 2 4 4" xfId="1440"/>
    <cellStyle name="Comma 4 2 2 5" xfId="1441"/>
    <cellStyle name="Comma 4 2 2 5 2" xfId="1442"/>
    <cellStyle name="Comma 4 2 2 6" xfId="1443"/>
    <cellStyle name="Comma 4 2 2 6 2" xfId="1444"/>
    <cellStyle name="Comma 4 2 2 7" xfId="1445"/>
    <cellStyle name="Comma 4 2 2 8" xfId="1446"/>
    <cellStyle name="Comma 4 2 3" xfId="1447"/>
    <cellStyle name="Comma 4 2 3 2" xfId="1448"/>
    <cellStyle name="Comma 4 2 3 2 2" xfId="1449"/>
    <cellStyle name="Comma 4 2 3 3" xfId="1450"/>
    <cellStyle name="Comma 4 2 3 3 2" xfId="1451"/>
    <cellStyle name="Comma 4 2 3 4" xfId="1452"/>
    <cellStyle name="Comma 4 2 4" xfId="1453"/>
    <cellStyle name="Comma 4 2 4 2" xfId="1454"/>
    <cellStyle name="Comma 4 2 4 2 2" xfId="1455"/>
    <cellStyle name="Comma 4 2 4 3" xfId="1456"/>
    <cellStyle name="Comma 4 2 4 3 2" xfId="1457"/>
    <cellStyle name="Comma 4 2 4 4" xfId="1458"/>
    <cellStyle name="Comma 4 2 5" xfId="1459"/>
    <cellStyle name="Comma 4 2 5 2" xfId="1460"/>
    <cellStyle name="Comma 4 2 5 2 2" xfId="1461"/>
    <cellStyle name="Comma 4 2 5 3" xfId="1462"/>
    <cellStyle name="Comma 4 2 5 3 2" xfId="1463"/>
    <cellStyle name="Comma 4 2 5 4" xfId="1464"/>
    <cellStyle name="Comma 4 2 6" xfId="1465"/>
    <cellStyle name="Comma 4 2 6 2" xfId="1466"/>
    <cellStyle name="Comma 4 2 7" xfId="1467"/>
    <cellStyle name="Comma 4 2 7 2" xfId="1468"/>
    <cellStyle name="Comma 4 2 8" xfId="1469"/>
    <cellStyle name="Comma 4 2 9" xfId="1470"/>
    <cellStyle name="Comma 4 3" xfId="1471"/>
    <cellStyle name="Comma 4 3 2" xfId="1472"/>
    <cellStyle name="Comma 4 3 2 2" xfId="1473"/>
    <cellStyle name="Comma 4 3 2 2 2" xfId="1474"/>
    <cellStyle name="Comma 4 3 2 2 2 2" xfId="1475"/>
    <cellStyle name="Comma 4 3 2 2 3" xfId="1476"/>
    <cellStyle name="Comma 4 3 2 2 3 2" xfId="1477"/>
    <cellStyle name="Comma 4 3 2 2 4" xfId="1478"/>
    <cellStyle name="Comma 4 3 2 3" xfId="1479"/>
    <cellStyle name="Comma 4 3 2 3 2" xfId="1480"/>
    <cellStyle name="Comma 4 3 2 3 2 2" xfId="1481"/>
    <cellStyle name="Comma 4 3 2 3 3" xfId="1482"/>
    <cellStyle name="Comma 4 3 2 3 3 2" xfId="1483"/>
    <cellStyle name="Comma 4 3 2 3 4" xfId="1484"/>
    <cellStyle name="Comma 4 3 2 4" xfId="1485"/>
    <cellStyle name="Comma 4 3 2 4 2" xfId="1486"/>
    <cellStyle name="Comma 4 3 2 4 2 2" xfId="1487"/>
    <cellStyle name="Comma 4 3 2 4 3" xfId="1488"/>
    <cellStyle name="Comma 4 3 2 4 3 2" xfId="1489"/>
    <cellStyle name="Comma 4 3 2 4 4" xfId="1490"/>
    <cellStyle name="Comma 4 3 2 5" xfId="1491"/>
    <cellStyle name="Comma 4 3 2 5 2" xfId="1492"/>
    <cellStyle name="Comma 4 3 2 6" xfId="1493"/>
    <cellStyle name="Comma 4 3 2 6 2" xfId="1494"/>
    <cellStyle name="Comma 4 3 2 7" xfId="1495"/>
    <cellStyle name="Comma 4 3 2 8" xfId="1496"/>
    <cellStyle name="Comma 4 3 3" xfId="1497"/>
    <cellStyle name="Comma 4 3 3 2" xfId="1498"/>
    <cellStyle name="Comma 4 3 3 2 2" xfId="1499"/>
    <cellStyle name="Comma 4 3 3 3" xfId="1500"/>
    <cellStyle name="Comma 4 3 3 3 2" xfId="1501"/>
    <cellStyle name="Comma 4 3 3 4" xfId="1502"/>
    <cellStyle name="Comma 4 3 4" xfId="1503"/>
    <cellStyle name="Comma 4 3 4 2" xfId="1504"/>
    <cellStyle name="Comma 4 3 4 2 2" xfId="1505"/>
    <cellStyle name="Comma 4 3 4 3" xfId="1506"/>
    <cellStyle name="Comma 4 3 4 3 2" xfId="1507"/>
    <cellStyle name="Comma 4 3 4 4" xfId="1508"/>
    <cellStyle name="Comma 4 3 5" xfId="1509"/>
    <cellStyle name="Comma 4 3 5 2" xfId="1510"/>
    <cellStyle name="Comma 4 3 5 2 2" xfId="1511"/>
    <cellStyle name="Comma 4 3 5 3" xfId="1512"/>
    <cellStyle name="Comma 4 3 5 3 2" xfId="1513"/>
    <cellStyle name="Comma 4 3 5 4" xfId="1514"/>
    <cellStyle name="Comma 4 3 6" xfId="1515"/>
    <cellStyle name="Comma 4 3 6 2" xfId="1516"/>
    <cellStyle name="Comma 4 3 7" xfId="1517"/>
    <cellStyle name="Comma 4 3 7 2" xfId="1518"/>
    <cellStyle name="Comma 4 3 8" xfId="1519"/>
    <cellStyle name="Comma 4 3 9" xfId="1520"/>
    <cellStyle name="Comma 4 4" xfId="1521"/>
    <cellStyle name="Comma 4 4 2" xfId="1522"/>
    <cellStyle name="Comma 4 4 2 2" xfId="1523"/>
    <cellStyle name="Comma 4 4 2 2 2" xfId="1524"/>
    <cellStyle name="Comma 4 4 2 3" xfId="1525"/>
    <cellStyle name="Comma 4 4 2 3 2" xfId="1526"/>
    <cellStyle name="Comma 4 4 2 4" xfId="1527"/>
    <cellStyle name="Comma 4 4 3" xfId="1528"/>
    <cellStyle name="Comma 4 4 3 2" xfId="1529"/>
    <cellStyle name="Comma 4 4 3 2 2" xfId="1530"/>
    <cellStyle name="Comma 4 4 3 3" xfId="1531"/>
    <cellStyle name="Comma 4 4 3 3 2" xfId="1532"/>
    <cellStyle name="Comma 4 4 3 4" xfId="1533"/>
    <cellStyle name="Comma 4 4 4" xfId="1534"/>
    <cellStyle name="Comma 4 4 4 2" xfId="1535"/>
    <cellStyle name="Comma 4 4 4 2 2" xfId="1536"/>
    <cellStyle name="Comma 4 4 4 3" xfId="1537"/>
    <cellStyle name="Comma 4 4 4 3 2" xfId="1538"/>
    <cellStyle name="Comma 4 4 4 4" xfId="1539"/>
    <cellStyle name="Comma 4 4 5" xfId="1540"/>
    <cellStyle name="Comma 4 4 5 2" xfId="1541"/>
    <cellStyle name="Comma 4 4 6" xfId="1542"/>
    <cellStyle name="Comma 4 4 6 2" xfId="1543"/>
    <cellStyle name="Comma 4 4 7" xfId="1544"/>
    <cellStyle name="Comma 4 4 8" xfId="1545"/>
    <cellStyle name="Comma 4 5" xfId="1546"/>
    <cellStyle name="Comma 4 5 2" xfId="1547"/>
    <cellStyle name="Comma 4 5 2 2" xfId="1548"/>
    <cellStyle name="Comma 4 5 3" xfId="1549"/>
    <cellStyle name="Comma 4 5 3 2" xfId="1550"/>
    <cellStyle name="Comma 4 5 4" xfId="1551"/>
    <cellStyle name="Comma 4 6" xfId="1552"/>
    <cellStyle name="Comma 4 6 2" xfId="1553"/>
    <cellStyle name="Comma 4 6 2 2" xfId="1554"/>
    <cellStyle name="Comma 4 6 3" xfId="1555"/>
    <cellStyle name="Comma 4 6 3 2" xfId="1556"/>
    <cellStyle name="Comma 4 6 4" xfId="1557"/>
    <cellStyle name="Comma 4 7" xfId="1558"/>
    <cellStyle name="Comma 4 7 2" xfId="1559"/>
    <cellStyle name="Comma 4 7 2 2" xfId="1560"/>
    <cellStyle name="Comma 4 7 3" xfId="1561"/>
    <cellStyle name="Comma 4 7 3 2" xfId="1562"/>
    <cellStyle name="Comma 4 7 4" xfId="1563"/>
    <cellStyle name="Comma 4 8" xfId="1564"/>
    <cellStyle name="Comma 4 9" xfId="1565"/>
    <cellStyle name="Comma 40" xfId="1566"/>
    <cellStyle name="Comma 41" xfId="1567"/>
    <cellStyle name="Comma 42" xfId="1568"/>
    <cellStyle name="Comma 43" xfId="1569"/>
    <cellStyle name="Comma 44" xfId="1570"/>
    <cellStyle name="Comma 45" xfId="1571"/>
    <cellStyle name="Comma 46" xfId="1572"/>
    <cellStyle name="Comma 47" xfId="1573"/>
    <cellStyle name="Comma 48" xfId="1574"/>
    <cellStyle name="Comma 49" xfId="1575"/>
    <cellStyle name="Comma 5" xfId="1576"/>
    <cellStyle name="Comma 5 10" xfId="1577"/>
    <cellStyle name="Comma 5 10 2" xfId="1578"/>
    <cellStyle name="Comma 5 10 2 2" xfId="1579"/>
    <cellStyle name="Comma 5 10 3" xfId="1580"/>
    <cellStyle name="Comma 5 10 3 2" xfId="1581"/>
    <cellStyle name="Comma 5 10 4" xfId="1582"/>
    <cellStyle name="Comma 5 11" xfId="1583"/>
    <cellStyle name="Comma 5 11 2" xfId="1584"/>
    <cellStyle name="Comma 5 11 2 2" xfId="1585"/>
    <cellStyle name="Comma 5 11 3" xfId="1586"/>
    <cellStyle name="Comma 5 11 3 2" xfId="1587"/>
    <cellStyle name="Comma 5 11 4" xfId="1588"/>
    <cellStyle name="Comma 5 12" xfId="1589"/>
    <cellStyle name="Comma 5 13" xfId="1590"/>
    <cellStyle name="Comma 5 14" xfId="1591"/>
    <cellStyle name="Comma 5 15" xfId="1592"/>
    <cellStyle name="Comma 5 16" xfId="1593"/>
    <cellStyle name="Comma 5 2" xfId="1594"/>
    <cellStyle name="Comma 5 2 2" xfId="1595"/>
    <cellStyle name="Comma 5 3" xfId="1596"/>
    <cellStyle name="Comma 5 3 2" xfId="1597"/>
    <cellStyle name="Comma 5 4" xfId="1598"/>
    <cellStyle name="Comma 5 5" xfId="1599"/>
    <cellStyle name="Comma 5 5 2" xfId="1600"/>
    <cellStyle name="Comma 5 5 2 2" xfId="1601"/>
    <cellStyle name="Comma 5 5 2 2 2" xfId="1602"/>
    <cellStyle name="Comma 5 5 2 2 2 2" xfId="1603"/>
    <cellStyle name="Comma 5 5 2 2 3" xfId="1604"/>
    <cellStyle name="Comma 5 5 2 2 3 2" xfId="1605"/>
    <cellStyle name="Comma 5 5 2 2 4" xfId="1606"/>
    <cellStyle name="Comma 5 5 2 3" xfId="1607"/>
    <cellStyle name="Comma 5 5 2 3 2" xfId="1608"/>
    <cellStyle name="Comma 5 5 2 3 2 2" xfId="1609"/>
    <cellStyle name="Comma 5 5 2 3 3" xfId="1610"/>
    <cellStyle name="Comma 5 5 2 3 3 2" xfId="1611"/>
    <cellStyle name="Comma 5 5 2 3 4" xfId="1612"/>
    <cellStyle name="Comma 5 5 2 4" xfId="1613"/>
    <cellStyle name="Comma 5 5 2 4 2" xfId="1614"/>
    <cellStyle name="Comma 5 5 2 4 2 2" xfId="1615"/>
    <cellStyle name="Comma 5 5 2 4 3" xfId="1616"/>
    <cellStyle name="Comma 5 5 2 4 3 2" xfId="1617"/>
    <cellStyle name="Comma 5 5 2 4 4" xfId="1618"/>
    <cellStyle name="Comma 5 5 2 5" xfId="1619"/>
    <cellStyle name="Comma 5 5 2 5 2" xfId="1620"/>
    <cellStyle name="Comma 5 5 2 6" xfId="1621"/>
    <cellStyle name="Comma 5 5 2 6 2" xfId="1622"/>
    <cellStyle name="Comma 5 5 2 7" xfId="1623"/>
    <cellStyle name="Comma 5 5 2 8" xfId="1624"/>
    <cellStyle name="Comma 5 5 3" xfId="1625"/>
    <cellStyle name="Comma 5 5 3 2" xfId="1626"/>
    <cellStyle name="Comma 5 5 3 2 2" xfId="1627"/>
    <cellStyle name="Comma 5 5 3 3" xfId="1628"/>
    <cellStyle name="Comma 5 5 3 3 2" xfId="1629"/>
    <cellStyle name="Comma 5 5 3 4" xfId="1630"/>
    <cellStyle name="Comma 5 5 4" xfId="1631"/>
    <cellStyle name="Comma 5 5 4 2" xfId="1632"/>
    <cellStyle name="Comma 5 5 4 2 2" xfId="1633"/>
    <cellStyle name="Comma 5 5 4 3" xfId="1634"/>
    <cellStyle name="Comma 5 5 4 3 2" xfId="1635"/>
    <cellStyle name="Comma 5 5 4 4" xfId="1636"/>
    <cellStyle name="Comma 5 5 5" xfId="1637"/>
    <cellStyle name="Comma 5 5 5 2" xfId="1638"/>
    <cellStyle name="Comma 5 5 5 2 2" xfId="1639"/>
    <cellStyle name="Comma 5 5 5 3" xfId="1640"/>
    <cellStyle name="Comma 5 5 5 3 2" xfId="1641"/>
    <cellStyle name="Comma 5 5 5 4" xfId="1642"/>
    <cellStyle name="Comma 5 5 6" xfId="1643"/>
    <cellStyle name="Comma 5 5 6 2" xfId="1644"/>
    <cellStyle name="Comma 5 5 7" xfId="1645"/>
    <cellStyle name="Comma 5 5 7 2" xfId="1646"/>
    <cellStyle name="Comma 5 5 8" xfId="1647"/>
    <cellStyle name="Comma 5 5 9" xfId="1648"/>
    <cellStyle name="Comma 5 6" xfId="1649"/>
    <cellStyle name="Comma 5 6 2" xfId="1650"/>
    <cellStyle name="Comma 5 6 2 2" xfId="1651"/>
    <cellStyle name="Comma 5 6 2 2 2" xfId="1652"/>
    <cellStyle name="Comma 5 6 2 2 2 2" xfId="1653"/>
    <cellStyle name="Comma 5 6 2 2 3" xfId="1654"/>
    <cellStyle name="Comma 5 6 2 2 3 2" xfId="1655"/>
    <cellStyle name="Comma 5 6 2 2 4" xfId="1656"/>
    <cellStyle name="Comma 5 6 2 3" xfId="1657"/>
    <cellStyle name="Comma 5 6 2 3 2" xfId="1658"/>
    <cellStyle name="Comma 5 6 2 3 2 2" xfId="1659"/>
    <cellStyle name="Comma 5 6 2 3 3" xfId="1660"/>
    <cellStyle name="Comma 5 6 2 3 3 2" xfId="1661"/>
    <cellStyle name="Comma 5 6 2 3 4" xfId="1662"/>
    <cellStyle name="Comma 5 6 2 4" xfId="1663"/>
    <cellStyle name="Comma 5 6 2 4 2" xfId="1664"/>
    <cellStyle name="Comma 5 6 2 4 2 2" xfId="1665"/>
    <cellStyle name="Comma 5 6 2 4 3" xfId="1666"/>
    <cellStyle name="Comma 5 6 2 4 3 2" xfId="1667"/>
    <cellStyle name="Comma 5 6 2 4 4" xfId="1668"/>
    <cellStyle name="Comma 5 6 2 5" xfId="1669"/>
    <cellStyle name="Comma 5 6 2 5 2" xfId="1670"/>
    <cellStyle name="Comma 5 6 2 6" xfId="1671"/>
    <cellStyle name="Comma 5 6 2 6 2" xfId="1672"/>
    <cellStyle name="Comma 5 6 2 7" xfId="1673"/>
    <cellStyle name="Comma 5 6 2 8" xfId="1674"/>
    <cellStyle name="Comma 5 6 3" xfId="1675"/>
    <cellStyle name="Comma 5 6 3 2" xfId="1676"/>
    <cellStyle name="Comma 5 6 3 2 2" xfId="1677"/>
    <cellStyle name="Comma 5 6 3 3" xfId="1678"/>
    <cellStyle name="Comma 5 6 3 3 2" xfId="1679"/>
    <cellStyle name="Comma 5 6 3 4" xfId="1680"/>
    <cellStyle name="Comma 5 6 4" xfId="1681"/>
    <cellStyle name="Comma 5 6 4 2" xfId="1682"/>
    <cellStyle name="Comma 5 6 4 2 2" xfId="1683"/>
    <cellStyle name="Comma 5 6 4 3" xfId="1684"/>
    <cellStyle name="Comma 5 6 4 3 2" xfId="1685"/>
    <cellStyle name="Comma 5 6 4 4" xfId="1686"/>
    <cellStyle name="Comma 5 6 5" xfId="1687"/>
    <cellStyle name="Comma 5 6 5 2" xfId="1688"/>
    <cellStyle name="Comma 5 6 5 2 2" xfId="1689"/>
    <cellStyle name="Comma 5 6 5 3" xfId="1690"/>
    <cellStyle name="Comma 5 6 5 3 2" xfId="1691"/>
    <cellStyle name="Comma 5 6 5 4" xfId="1692"/>
    <cellStyle name="Comma 5 6 6" xfId="1693"/>
    <cellStyle name="Comma 5 6 6 2" xfId="1694"/>
    <cellStyle name="Comma 5 6 7" xfId="1695"/>
    <cellStyle name="Comma 5 6 7 2" xfId="1696"/>
    <cellStyle name="Comma 5 6 8" xfId="1697"/>
    <cellStyle name="Comma 5 6 9" xfId="1698"/>
    <cellStyle name="Comma 5 7" xfId="1699"/>
    <cellStyle name="Comma 5 7 2" xfId="1700"/>
    <cellStyle name="Comma 5 7 2 2" xfId="1701"/>
    <cellStyle name="Comma 5 7 2 2 2" xfId="1702"/>
    <cellStyle name="Comma 5 7 2 3" xfId="1703"/>
    <cellStyle name="Comma 5 7 2 3 2" xfId="1704"/>
    <cellStyle name="Comma 5 7 2 4" xfId="1705"/>
    <cellStyle name="Comma 5 7 3" xfId="1706"/>
    <cellStyle name="Comma 5 7 3 2" xfId="1707"/>
    <cellStyle name="Comma 5 7 3 2 2" xfId="1708"/>
    <cellStyle name="Comma 5 7 3 3" xfId="1709"/>
    <cellStyle name="Comma 5 7 3 3 2" xfId="1710"/>
    <cellStyle name="Comma 5 7 3 4" xfId="1711"/>
    <cellStyle name="Comma 5 7 4" xfId="1712"/>
    <cellStyle name="Comma 5 7 4 2" xfId="1713"/>
    <cellStyle name="Comma 5 7 4 2 2" xfId="1714"/>
    <cellStyle name="Comma 5 7 4 3" xfId="1715"/>
    <cellStyle name="Comma 5 7 4 3 2" xfId="1716"/>
    <cellStyle name="Comma 5 7 4 4" xfId="1717"/>
    <cellStyle name="Comma 5 7 5" xfId="1718"/>
    <cellStyle name="Comma 5 7 5 2" xfId="1719"/>
    <cellStyle name="Comma 5 7 6" xfId="1720"/>
    <cellStyle name="Comma 5 7 6 2" xfId="1721"/>
    <cellStyle name="Comma 5 7 7" xfId="1722"/>
    <cellStyle name="Comma 5 7 8" xfId="1723"/>
    <cellStyle name="Comma 5 8" xfId="1724"/>
    <cellStyle name="Comma 5 8 2" xfId="1725"/>
    <cellStyle name="Comma 5 8 2 2" xfId="1726"/>
    <cellStyle name="Comma 5 8 3" xfId="1727"/>
    <cellStyle name="Comma 5 8 3 2" xfId="1728"/>
    <cellStyle name="Comma 5 8 4" xfId="1729"/>
    <cellStyle name="Comma 5 9" xfId="1730"/>
    <cellStyle name="Comma 5 9 2" xfId="1731"/>
    <cellStyle name="Comma 5 9 2 2" xfId="1732"/>
    <cellStyle name="Comma 5 9 3" xfId="1733"/>
    <cellStyle name="Comma 5 9 3 2" xfId="1734"/>
    <cellStyle name="Comma 5 9 4" xfId="1735"/>
    <cellStyle name="Comma 50" xfId="1736"/>
    <cellStyle name="Comma 51" xfId="1737"/>
    <cellStyle name="Comma 52" xfId="1738"/>
    <cellStyle name="Comma 53" xfId="1739"/>
    <cellStyle name="Comma 54" xfId="1740"/>
    <cellStyle name="Comma 55" xfId="1741"/>
    <cellStyle name="Comma 56" xfId="1742"/>
    <cellStyle name="Comma 57" xfId="1743"/>
    <cellStyle name="Comma 58" xfId="1744"/>
    <cellStyle name="Comma 59" xfId="1745"/>
    <cellStyle name="Comma 6" xfId="1746"/>
    <cellStyle name="Comma 6 10" xfId="1747"/>
    <cellStyle name="Comma 6 10 2" xfId="1748"/>
    <cellStyle name="Comma 6 10 2 2" xfId="1749"/>
    <cellStyle name="Comma 6 10 3" xfId="1750"/>
    <cellStyle name="Comma 6 10 3 2" xfId="1751"/>
    <cellStyle name="Comma 6 10 4" xfId="1752"/>
    <cellStyle name="Comma 6 11" xfId="1753"/>
    <cellStyle name="Comma 6 12" xfId="1754"/>
    <cellStyle name="Comma 6 13" xfId="1755"/>
    <cellStyle name="Comma 6 2" xfId="1756"/>
    <cellStyle name="Comma 6 2 2" xfId="1757"/>
    <cellStyle name="Comma 6 2 3" xfId="1758"/>
    <cellStyle name="Comma 6 3" xfId="1759"/>
    <cellStyle name="Comma 6 3 2" xfId="1760"/>
    <cellStyle name="Comma 6 3 3" xfId="1761"/>
    <cellStyle name="Comma 6 4" xfId="1762"/>
    <cellStyle name="Comma 6 4 2" xfId="1763"/>
    <cellStyle name="Comma 6 5" xfId="1764"/>
    <cellStyle name="Comma 6 5 2" xfId="1765"/>
    <cellStyle name="Comma 6 5 2 2" xfId="1766"/>
    <cellStyle name="Comma 6 5 2 2 2" xfId="1767"/>
    <cellStyle name="Comma 6 5 2 2 2 2" xfId="1768"/>
    <cellStyle name="Comma 6 5 2 2 3" xfId="1769"/>
    <cellStyle name="Comma 6 5 2 2 3 2" xfId="1770"/>
    <cellStyle name="Comma 6 5 2 2 4" xfId="1771"/>
    <cellStyle name="Comma 6 5 2 3" xfId="1772"/>
    <cellStyle name="Comma 6 5 2 3 2" xfId="1773"/>
    <cellStyle name="Comma 6 5 2 3 2 2" xfId="1774"/>
    <cellStyle name="Comma 6 5 2 3 3" xfId="1775"/>
    <cellStyle name="Comma 6 5 2 3 3 2" xfId="1776"/>
    <cellStyle name="Comma 6 5 2 3 4" xfId="1777"/>
    <cellStyle name="Comma 6 5 2 4" xfId="1778"/>
    <cellStyle name="Comma 6 5 2 4 2" xfId="1779"/>
    <cellStyle name="Comma 6 5 2 4 2 2" xfId="1780"/>
    <cellStyle name="Comma 6 5 2 4 3" xfId="1781"/>
    <cellStyle name="Comma 6 5 2 4 3 2" xfId="1782"/>
    <cellStyle name="Comma 6 5 2 4 4" xfId="1783"/>
    <cellStyle name="Comma 6 5 2 5" xfId="1784"/>
    <cellStyle name="Comma 6 5 2 5 2" xfId="1785"/>
    <cellStyle name="Comma 6 5 2 6" xfId="1786"/>
    <cellStyle name="Comma 6 5 2 6 2" xfId="1787"/>
    <cellStyle name="Comma 6 5 2 7" xfId="1788"/>
    <cellStyle name="Comma 6 5 2 8" xfId="1789"/>
    <cellStyle name="Comma 6 5 3" xfId="1790"/>
    <cellStyle name="Comma 6 5 3 2" xfId="1791"/>
    <cellStyle name="Comma 6 5 3 2 2" xfId="1792"/>
    <cellStyle name="Comma 6 5 3 3" xfId="1793"/>
    <cellStyle name="Comma 6 5 3 3 2" xfId="1794"/>
    <cellStyle name="Comma 6 5 3 4" xfId="1795"/>
    <cellStyle name="Comma 6 5 4" xfId="1796"/>
    <cellStyle name="Comma 6 5 4 2" xfId="1797"/>
    <cellStyle name="Comma 6 5 4 2 2" xfId="1798"/>
    <cellStyle name="Comma 6 5 4 3" xfId="1799"/>
    <cellStyle name="Comma 6 5 4 3 2" xfId="1800"/>
    <cellStyle name="Comma 6 5 4 4" xfId="1801"/>
    <cellStyle name="Comma 6 5 5" xfId="1802"/>
    <cellStyle name="Comma 6 5 5 2" xfId="1803"/>
    <cellStyle name="Comma 6 5 5 2 2" xfId="1804"/>
    <cellStyle name="Comma 6 5 5 3" xfId="1805"/>
    <cellStyle name="Comma 6 5 5 3 2" xfId="1806"/>
    <cellStyle name="Comma 6 5 5 4" xfId="1807"/>
    <cellStyle name="Comma 6 5 6" xfId="1808"/>
    <cellStyle name="Comma 6 5 6 2" xfId="1809"/>
    <cellStyle name="Comma 6 5 7" xfId="1810"/>
    <cellStyle name="Comma 6 5 7 2" xfId="1811"/>
    <cellStyle name="Comma 6 5 8" xfId="1812"/>
    <cellStyle name="Comma 6 5 9" xfId="1813"/>
    <cellStyle name="Comma 6 6" xfId="1814"/>
    <cellStyle name="Comma 6 6 2" xfId="1815"/>
    <cellStyle name="Comma 6 6 2 2" xfId="1816"/>
    <cellStyle name="Comma 6 6 2 2 2" xfId="1817"/>
    <cellStyle name="Comma 6 6 2 2 2 2" xfId="1818"/>
    <cellStyle name="Comma 6 6 2 2 3" xfId="1819"/>
    <cellStyle name="Comma 6 6 2 2 3 2" xfId="1820"/>
    <cellStyle name="Comma 6 6 2 2 4" xfId="1821"/>
    <cellStyle name="Comma 6 6 2 3" xfId="1822"/>
    <cellStyle name="Comma 6 6 2 3 2" xfId="1823"/>
    <cellStyle name="Comma 6 6 2 3 2 2" xfId="1824"/>
    <cellStyle name="Comma 6 6 2 3 3" xfId="1825"/>
    <cellStyle name="Comma 6 6 2 3 3 2" xfId="1826"/>
    <cellStyle name="Comma 6 6 2 3 4" xfId="1827"/>
    <cellStyle name="Comma 6 6 2 4" xfId="1828"/>
    <cellStyle name="Comma 6 6 2 4 2" xfId="1829"/>
    <cellStyle name="Comma 6 6 2 4 2 2" xfId="1830"/>
    <cellStyle name="Comma 6 6 2 4 3" xfId="1831"/>
    <cellStyle name="Comma 6 6 2 4 3 2" xfId="1832"/>
    <cellStyle name="Comma 6 6 2 4 4" xfId="1833"/>
    <cellStyle name="Comma 6 6 2 5" xfId="1834"/>
    <cellStyle name="Comma 6 6 2 5 2" xfId="1835"/>
    <cellStyle name="Comma 6 6 2 6" xfId="1836"/>
    <cellStyle name="Comma 6 6 2 6 2" xfId="1837"/>
    <cellStyle name="Comma 6 6 2 7" xfId="1838"/>
    <cellStyle name="Comma 6 6 2 8" xfId="1839"/>
    <cellStyle name="Comma 6 6 3" xfId="1840"/>
    <cellStyle name="Comma 6 6 3 2" xfId="1841"/>
    <cellStyle name="Comma 6 6 3 2 2" xfId="1842"/>
    <cellStyle name="Comma 6 6 3 3" xfId="1843"/>
    <cellStyle name="Comma 6 6 3 3 2" xfId="1844"/>
    <cellStyle name="Comma 6 6 3 4" xfId="1845"/>
    <cellStyle name="Comma 6 6 4" xfId="1846"/>
    <cellStyle name="Comma 6 6 4 2" xfId="1847"/>
    <cellStyle name="Comma 6 6 4 2 2" xfId="1848"/>
    <cellStyle name="Comma 6 6 4 3" xfId="1849"/>
    <cellStyle name="Comma 6 6 4 3 2" xfId="1850"/>
    <cellStyle name="Comma 6 6 4 4" xfId="1851"/>
    <cellStyle name="Comma 6 6 5" xfId="1852"/>
    <cellStyle name="Comma 6 6 5 2" xfId="1853"/>
    <cellStyle name="Comma 6 6 5 2 2" xfId="1854"/>
    <cellStyle name="Comma 6 6 5 3" xfId="1855"/>
    <cellStyle name="Comma 6 6 5 3 2" xfId="1856"/>
    <cellStyle name="Comma 6 6 5 4" xfId="1857"/>
    <cellStyle name="Comma 6 6 6" xfId="1858"/>
    <cellStyle name="Comma 6 6 6 2" xfId="1859"/>
    <cellStyle name="Comma 6 6 7" xfId="1860"/>
    <cellStyle name="Comma 6 6 7 2" xfId="1861"/>
    <cellStyle name="Comma 6 6 8" xfId="1862"/>
    <cellStyle name="Comma 6 6 9" xfId="1863"/>
    <cellStyle name="Comma 6 7" xfId="1864"/>
    <cellStyle name="Comma 6 7 2" xfId="1865"/>
    <cellStyle name="Comma 6 7 2 2" xfId="1866"/>
    <cellStyle name="Comma 6 7 2 2 2" xfId="1867"/>
    <cellStyle name="Comma 6 7 2 3" xfId="1868"/>
    <cellStyle name="Comma 6 7 2 3 2" xfId="1869"/>
    <cellStyle name="Comma 6 7 2 4" xfId="1870"/>
    <cellStyle name="Comma 6 7 3" xfId="1871"/>
    <cellStyle name="Comma 6 7 3 2" xfId="1872"/>
    <cellStyle name="Comma 6 7 3 2 2" xfId="1873"/>
    <cellStyle name="Comma 6 7 3 3" xfId="1874"/>
    <cellStyle name="Comma 6 7 3 3 2" xfId="1875"/>
    <cellStyle name="Comma 6 7 3 4" xfId="1876"/>
    <cellStyle name="Comma 6 7 4" xfId="1877"/>
    <cellStyle name="Comma 6 7 4 2" xfId="1878"/>
    <cellStyle name="Comma 6 7 4 2 2" xfId="1879"/>
    <cellStyle name="Comma 6 7 4 3" xfId="1880"/>
    <cellStyle name="Comma 6 7 4 3 2" xfId="1881"/>
    <cellStyle name="Comma 6 7 4 4" xfId="1882"/>
    <cellStyle name="Comma 6 7 5" xfId="1883"/>
    <cellStyle name="Comma 6 7 5 2" xfId="1884"/>
    <cellStyle name="Comma 6 7 6" xfId="1885"/>
    <cellStyle name="Comma 6 7 6 2" xfId="1886"/>
    <cellStyle name="Comma 6 7 7" xfId="1887"/>
    <cellStyle name="Comma 6 7 8" xfId="1888"/>
    <cellStyle name="Comma 6 8" xfId="1889"/>
    <cellStyle name="Comma 6 8 2" xfId="1890"/>
    <cellStyle name="Comma 6 8 2 2" xfId="1891"/>
    <cellStyle name="Comma 6 8 3" xfId="1892"/>
    <cellStyle name="Comma 6 8 3 2" xfId="1893"/>
    <cellStyle name="Comma 6 8 4" xfId="1894"/>
    <cellStyle name="Comma 6 9" xfId="1895"/>
    <cellStyle name="Comma 6 9 2" xfId="1896"/>
    <cellStyle name="Comma 6 9 2 2" xfId="1897"/>
    <cellStyle name="Comma 6 9 3" xfId="1898"/>
    <cellStyle name="Comma 6 9 3 2" xfId="1899"/>
    <cellStyle name="Comma 6 9 4" xfId="1900"/>
    <cellStyle name="Comma 60" xfId="1901"/>
    <cellStyle name="Comma 61" xfId="1902"/>
    <cellStyle name="Comma 62" xfId="1903"/>
    <cellStyle name="Comma 63" xfId="1904"/>
    <cellStyle name="Comma 64" xfId="1905"/>
    <cellStyle name="Comma 64 2" xfId="1906"/>
    <cellStyle name="Comma 64 3" xfId="1907"/>
    <cellStyle name="Comma 65" xfId="1908"/>
    <cellStyle name="Comma 66" xfId="1909"/>
    <cellStyle name="Comma 67" xfId="1910"/>
    <cellStyle name="Comma 68" xfId="1911"/>
    <cellStyle name="Comma 69" xfId="1912"/>
    <cellStyle name="Comma 7" xfId="1913"/>
    <cellStyle name="Comma 7 10" xfId="1914"/>
    <cellStyle name="Comma 7 2" xfId="1915"/>
    <cellStyle name="Comma 7 2 2" xfId="1916"/>
    <cellStyle name="Comma 7 2 2 2" xfId="1917"/>
    <cellStyle name="Comma 7 2 2 2 2" xfId="1918"/>
    <cellStyle name="Comma 7 2 2 2 2 2" xfId="1919"/>
    <cellStyle name="Comma 7 2 2 2 3" xfId="1920"/>
    <cellStyle name="Comma 7 2 2 2 3 2" xfId="1921"/>
    <cellStyle name="Comma 7 2 2 2 4" xfId="1922"/>
    <cellStyle name="Comma 7 2 2 3" xfId="1923"/>
    <cellStyle name="Comma 7 2 2 3 2" xfId="1924"/>
    <cellStyle name="Comma 7 2 2 3 2 2" xfId="1925"/>
    <cellStyle name="Comma 7 2 2 3 3" xfId="1926"/>
    <cellStyle name="Comma 7 2 2 3 3 2" xfId="1927"/>
    <cellStyle name="Comma 7 2 2 3 4" xfId="1928"/>
    <cellStyle name="Comma 7 2 2 4" xfId="1929"/>
    <cellStyle name="Comma 7 2 2 4 2" xfId="1930"/>
    <cellStyle name="Comma 7 2 2 4 2 2" xfId="1931"/>
    <cellStyle name="Comma 7 2 2 4 3" xfId="1932"/>
    <cellStyle name="Comma 7 2 2 4 3 2" xfId="1933"/>
    <cellStyle name="Comma 7 2 2 4 4" xfId="1934"/>
    <cellStyle name="Comma 7 2 2 5" xfId="1935"/>
    <cellStyle name="Comma 7 2 2 5 2" xfId="1936"/>
    <cellStyle name="Comma 7 2 2 6" xfId="1937"/>
    <cellStyle name="Comma 7 2 2 6 2" xfId="1938"/>
    <cellStyle name="Comma 7 2 2 7" xfId="1939"/>
    <cellStyle name="Comma 7 2 2 8" xfId="1940"/>
    <cellStyle name="Comma 7 2 3" xfId="1941"/>
    <cellStyle name="Comma 7 2 3 2" xfId="1942"/>
    <cellStyle name="Comma 7 2 3 2 2" xfId="1943"/>
    <cellStyle name="Comma 7 2 3 3" xfId="1944"/>
    <cellStyle name="Comma 7 2 3 3 2" xfId="1945"/>
    <cellStyle name="Comma 7 2 3 4" xfId="1946"/>
    <cellStyle name="Comma 7 2 4" xfId="1947"/>
    <cellStyle name="Comma 7 2 4 2" xfId="1948"/>
    <cellStyle name="Comma 7 2 4 2 2" xfId="1949"/>
    <cellStyle name="Comma 7 2 4 3" xfId="1950"/>
    <cellStyle name="Comma 7 2 4 3 2" xfId="1951"/>
    <cellStyle name="Comma 7 2 4 4" xfId="1952"/>
    <cellStyle name="Comma 7 2 5" xfId="1953"/>
    <cellStyle name="Comma 7 2 5 2" xfId="1954"/>
    <cellStyle name="Comma 7 2 5 2 2" xfId="1955"/>
    <cellStyle name="Comma 7 2 5 3" xfId="1956"/>
    <cellStyle name="Comma 7 2 5 3 2" xfId="1957"/>
    <cellStyle name="Comma 7 2 5 4" xfId="1958"/>
    <cellStyle name="Comma 7 2 6" xfId="1959"/>
    <cellStyle name="Comma 7 2 6 2" xfId="1960"/>
    <cellStyle name="Comma 7 2 7" xfId="1961"/>
    <cellStyle name="Comma 7 2 7 2" xfId="1962"/>
    <cellStyle name="Comma 7 2 8" xfId="1963"/>
    <cellStyle name="Comma 7 2 9" xfId="1964"/>
    <cellStyle name="Comma 7 3" xfId="1965"/>
    <cellStyle name="Comma 7 3 2" xfId="1966"/>
    <cellStyle name="Comma 7 3 2 2" xfId="1967"/>
    <cellStyle name="Comma 7 3 2 2 2" xfId="1968"/>
    <cellStyle name="Comma 7 3 2 2 2 2" xfId="1969"/>
    <cellStyle name="Comma 7 3 2 2 3" xfId="1970"/>
    <cellStyle name="Comma 7 3 2 2 3 2" xfId="1971"/>
    <cellStyle name="Comma 7 3 2 2 4" xfId="1972"/>
    <cellStyle name="Comma 7 3 2 3" xfId="1973"/>
    <cellStyle name="Comma 7 3 2 3 2" xfId="1974"/>
    <cellStyle name="Comma 7 3 2 3 2 2" xfId="1975"/>
    <cellStyle name="Comma 7 3 2 3 3" xfId="1976"/>
    <cellStyle name="Comma 7 3 2 3 3 2" xfId="1977"/>
    <cellStyle name="Comma 7 3 2 3 4" xfId="1978"/>
    <cellStyle name="Comma 7 3 2 4" xfId="1979"/>
    <cellStyle name="Comma 7 3 2 4 2" xfId="1980"/>
    <cellStyle name="Comma 7 3 2 4 2 2" xfId="1981"/>
    <cellStyle name="Comma 7 3 2 4 3" xfId="1982"/>
    <cellStyle name="Comma 7 3 2 4 3 2" xfId="1983"/>
    <cellStyle name="Comma 7 3 2 4 4" xfId="1984"/>
    <cellStyle name="Comma 7 3 2 5" xfId="1985"/>
    <cellStyle name="Comma 7 3 2 5 2" xfId="1986"/>
    <cellStyle name="Comma 7 3 2 6" xfId="1987"/>
    <cellStyle name="Comma 7 3 2 6 2" xfId="1988"/>
    <cellStyle name="Comma 7 3 2 7" xfId="1989"/>
    <cellStyle name="Comma 7 3 2 8" xfId="1990"/>
    <cellStyle name="Comma 7 3 3" xfId="1991"/>
    <cellStyle name="Comma 7 3 3 2" xfId="1992"/>
    <cellStyle name="Comma 7 3 3 2 2" xfId="1993"/>
    <cellStyle name="Comma 7 3 3 3" xfId="1994"/>
    <cellStyle name="Comma 7 3 3 3 2" xfId="1995"/>
    <cellStyle name="Comma 7 3 3 4" xfId="1996"/>
    <cellStyle name="Comma 7 3 4" xfId="1997"/>
    <cellStyle name="Comma 7 3 4 2" xfId="1998"/>
    <cellStyle name="Comma 7 3 4 2 2" xfId="1999"/>
    <cellStyle name="Comma 7 3 4 3" xfId="2000"/>
    <cellStyle name="Comma 7 3 4 3 2" xfId="2001"/>
    <cellStyle name="Comma 7 3 4 4" xfId="2002"/>
    <cellStyle name="Comma 7 3 5" xfId="2003"/>
    <cellStyle name="Comma 7 3 5 2" xfId="2004"/>
    <cellStyle name="Comma 7 3 5 2 2" xfId="2005"/>
    <cellStyle name="Comma 7 3 5 3" xfId="2006"/>
    <cellStyle name="Comma 7 3 5 3 2" xfId="2007"/>
    <cellStyle name="Comma 7 3 5 4" xfId="2008"/>
    <cellStyle name="Comma 7 3 6" xfId="2009"/>
    <cellStyle name="Comma 7 3 6 2" xfId="2010"/>
    <cellStyle name="Comma 7 3 7" xfId="2011"/>
    <cellStyle name="Comma 7 3 7 2" xfId="2012"/>
    <cellStyle name="Comma 7 3 8" xfId="2013"/>
    <cellStyle name="Comma 7 3 9" xfId="2014"/>
    <cellStyle name="Comma 7 4" xfId="2015"/>
    <cellStyle name="Comma 7 4 2" xfId="2016"/>
    <cellStyle name="Comma 7 4 2 2" xfId="2017"/>
    <cellStyle name="Comma 7 4 2 2 2" xfId="2018"/>
    <cellStyle name="Comma 7 4 2 3" xfId="2019"/>
    <cellStyle name="Comma 7 4 2 3 2" xfId="2020"/>
    <cellStyle name="Comma 7 4 2 4" xfId="2021"/>
    <cellStyle name="Comma 7 4 3" xfId="2022"/>
    <cellStyle name="Comma 7 4 3 2" xfId="2023"/>
    <cellStyle name="Comma 7 4 3 2 2" xfId="2024"/>
    <cellStyle name="Comma 7 4 3 3" xfId="2025"/>
    <cellStyle name="Comma 7 4 3 3 2" xfId="2026"/>
    <cellStyle name="Comma 7 4 3 4" xfId="2027"/>
    <cellStyle name="Comma 7 4 4" xfId="2028"/>
    <cellStyle name="Comma 7 4 4 2" xfId="2029"/>
    <cellStyle name="Comma 7 4 4 2 2" xfId="2030"/>
    <cellStyle name="Comma 7 4 4 3" xfId="2031"/>
    <cellStyle name="Comma 7 4 4 3 2" xfId="2032"/>
    <cellStyle name="Comma 7 4 4 4" xfId="2033"/>
    <cellStyle name="Comma 7 4 5" xfId="2034"/>
    <cellStyle name="Comma 7 4 5 2" xfId="2035"/>
    <cellStyle name="Comma 7 4 6" xfId="2036"/>
    <cellStyle name="Comma 7 4 6 2" xfId="2037"/>
    <cellStyle name="Comma 7 4 7" xfId="2038"/>
    <cellStyle name="Comma 7 4 8" xfId="2039"/>
    <cellStyle name="Comma 7 5" xfId="2040"/>
    <cellStyle name="Comma 7 5 2" xfId="2041"/>
    <cellStyle name="Comma 7 5 2 2" xfId="2042"/>
    <cellStyle name="Comma 7 5 3" xfId="2043"/>
    <cellStyle name="Comma 7 5 3 2" xfId="2044"/>
    <cellStyle name="Comma 7 5 4" xfId="2045"/>
    <cellStyle name="Comma 7 6" xfId="2046"/>
    <cellStyle name="Comma 7 6 2" xfId="2047"/>
    <cellStyle name="Comma 7 6 2 2" xfId="2048"/>
    <cellStyle name="Comma 7 6 3" xfId="2049"/>
    <cellStyle name="Comma 7 6 3 2" xfId="2050"/>
    <cellStyle name="Comma 7 6 4" xfId="2051"/>
    <cellStyle name="Comma 7 7" xfId="2052"/>
    <cellStyle name="Comma 7 7 2" xfId="2053"/>
    <cellStyle name="Comma 7 7 2 2" xfId="2054"/>
    <cellStyle name="Comma 7 7 3" xfId="2055"/>
    <cellStyle name="Comma 7 7 3 2" xfId="2056"/>
    <cellStyle name="Comma 7 7 4" xfId="2057"/>
    <cellStyle name="Comma 7 8" xfId="2058"/>
    <cellStyle name="Comma 7 9" xfId="2059"/>
    <cellStyle name="Comma 70" xfId="2060"/>
    <cellStyle name="Comma 71" xfId="2061"/>
    <cellStyle name="Comma 72" xfId="2062"/>
    <cellStyle name="Comma 73" xfId="2063"/>
    <cellStyle name="Comma 74" xfId="2064"/>
    <cellStyle name="Comma 75" xfId="2065"/>
    <cellStyle name="Comma 76" xfId="2066"/>
    <cellStyle name="Comma 77" xfId="2067"/>
    <cellStyle name="Comma 78" xfId="2068"/>
    <cellStyle name="Comma 79" xfId="2069"/>
    <cellStyle name="Comma 8" xfId="2070"/>
    <cellStyle name="Comma 8 2" xfId="2071"/>
    <cellStyle name="Comma 8 2 2" xfId="2072"/>
    <cellStyle name="Comma 8 3" xfId="2073"/>
    <cellStyle name="Comma 8 3 2" xfId="2074"/>
    <cellStyle name="Comma 8 3 3" xfId="2075"/>
    <cellStyle name="Comma 8 4" xfId="2076"/>
    <cellStyle name="Comma 8 4 2" xfId="2077"/>
    <cellStyle name="Comma 8 5" xfId="2078"/>
    <cellStyle name="Comma 80" xfId="2079"/>
    <cellStyle name="Comma 81" xfId="2080"/>
    <cellStyle name="Comma 82" xfId="2081"/>
    <cellStyle name="Comma 83" xfId="2082"/>
    <cellStyle name="Comma 84" xfId="2083"/>
    <cellStyle name="Comma 85" xfId="2084"/>
    <cellStyle name="Comma 86" xfId="2085"/>
    <cellStyle name="Comma 87" xfId="2086"/>
    <cellStyle name="Comma 88" xfId="2087"/>
    <cellStyle name="Comma 89" xfId="2088"/>
    <cellStyle name="Comma 9" xfId="2089"/>
    <cellStyle name="Comma 9 2" xfId="2090"/>
    <cellStyle name="Comma 9 2 2" xfId="2091"/>
    <cellStyle name="Comma 9 2 2 2" xfId="2092"/>
    <cellStyle name="Comma 9 2 2 2 2" xfId="2093"/>
    <cellStyle name="Comma 9 2 2 3" xfId="2094"/>
    <cellStyle name="Comma 9 2 2 3 2" xfId="2095"/>
    <cellStyle name="Comma 9 2 2 4" xfId="2096"/>
    <cellStyle name="Comma 9 2 3" xfId="2097"/>
    <cellStyle name="Comma 9 2 3 2" xfId="2098"/>
    <cellStyle name="Comma 9 2 3 2 2" xfId="2099"/>
    <cellStyle name="Comma 9 2 3 3" xfId="2100"/>
    <cellStyle name="Comma 9 2 3 3 2" xfId="2101"/>
    <cellStyle name="Comma 9 2 3 4" xfId="2102"/>
    <cellStyle name="Comma 9 2 4" xfId="2103"/>
    <cellStyle name="Comma 9 2 4 2" xfId="2104"/>
    <cellStyle name="Comma 9 2 4 2 2" xfId="2105"/>
    <cellStyle name="Comma 9 2 4 3" xfId="2106"/>
    <cellStyle name="Comma 9 2 4 3 2" xfId="2107"/>
    <cellStyle name="Comma 9 2 4 4" xfId="2108"/>
    <cellStyle name="Comma 9 2 5" xfId="2109"/>
    <cellStyle name="Comma 9 2 5 2" xfId="2110"/>
    <cellStyle name="Comma 9 2 6" xfId="2111"/>
    <cellStyle name="Comma 9 2 6 2" xfId="2112"/>
    <cellStyle name="Comma 9 2 7" xfId="2113"/>
    <cellStyle name="Comma 9 2 8" xfId="2114"/>
    <cellStyle name="Comma 9 3" xfId="2115"/>
    <cellStyle name="Comma 9 3 2" xfId="2116"/>
    <cellStyle name="Comma 9 3 2 2" xfId="2117"/>
    <cellStyle name="Comma 9 3 3" xfId="2118"/>
    <cellStyle name="Comma 9 3 3 2" xfId="2119"/>
    <cellStyle name="Comma 9 3 4" xfId="2120"/>
    <cellStyle name="Comma 9 4" xfId="2121"/>
    <cellStyle name="Comma 9 4 2" xfId="2122"/>
    <cellStyle name="Comma 9 4 2 2" xfId="2123"/>
    <cellStyle name="Comma 9 4 3" xfId="2124"/>
    <cellStyle name="Comma 9 4 3 2" xfId="2125"/>
    <cellStyle name="Comma 9 4 4" xfId="2126"/>
    <cellStyle name="Comma 9 5" xfId="2127"/>
    <cellStyle name="Comma 9 5 2" xfId="2128"/>
    <cellStyle name="Comma 9 5 2 2" xfId="2129"/>
    <cellStyle name="Comma 9 5 3" xfId="2130"/>
    <cellStyle name="Comma 9 5 3 2" xfId="2131"/>
    <cellStyle name="Comma 9 5 4" xfId="2132"/>
    <cellStyle name="Comma 9 6" xfId="2133"/>
    <cellStyle name="Comma 9 7" xfId="2134"/>
    <cellStyle name="Comma 9 8" xfId="2135"/>
    <cellStyle name="Comma 90" xfId="2136"/>
    <cellStyle name="Comma 91" xfId="2137"/>
    <cellStyle name="Comma 92" xfId="2138"/>
    <cellStyle name="Comma 93" xfId="2139"/>
    <cellStyle name="Comma 94" xfId="2140"/>
    <cellStyle name="Comma 95" xfId="2141"/>
    <cellStyle name="Comma 96" xfId="2142"/>
    <cellStyle name="Comma 97" xfId="2143"/>
    <cellStyle name="Comma 98" xfId="2144"/>
    <cellStyle name="Comma 99" xfId="2145"/>
    <cellStyle name="Comma1decimal.zero" xfId="2146"/>
    <cellStyle name="Cost Element" xfId="2147"/>
    <cellStyle name="Cost Element 2" xfId="2148"/>
    <cellStyle name="Cost Element 2 2" xfId="2149"/>
    <cellStyle name="Cost Element 3" xfId="2150"/>
    <cellStyle name="Cost Element 3 2" xfId="2151"/>
    <cellStyle name="Cost Element 4" xfId="2152"/>
    <cellStyle name="Currency" xfId="3" builtinId="4"/>
    <cellStyle name="Currency 12" xfId="2153"/>
    <cellStyle name="Currency 12 2" xfId="2154"/>
    <cellStyle name="Currency 2" xfId="2155"/>
    <cellStyle name="Currency 2 2" xfId="2156"/>
    <cellStyle name="Currency 2 2 2" xfId="2157"/>
    <cellStyle name="Currency 2 2 3" xfId="2158"/>
    <cellStyle name="Currency 2 3" xfId="2159"/>
    <cellStyle name="Currency 2 3 2" xfId="2160"/>
    <cellStyle name="Currency 2 3 3" xfId="2161"/>
    <cellStyle name="Currency 2 4" xfId="2162"/>
    <cellStyle name="Currency 2 4 2" xfId="2163"/>
    <cellStyle name="Currency 2 5" xfId="2164"/>
    <cellStyle name="Currency 3" xfId="2165"/>
    <cellStyle name="Currency 3 2" xfId="2166"/>
    <cellStyle name="Currency 3 2 2" xfId="2167"/>
    <cellStyle name="Currency 3 2 3" xfId="2168"/>
    <cellStyle name="Currency 3 3" xfId="2169"/>
    <cellStyle name="Currency 3 3 2" xfId="2170"/>
    <cellStyle name="Currency 3 3 3" xfId="2171"/>
    <cellStyle name="Currency 3 4" xfId="2172"/>
    <cellStyle name="Currency 3 4 2" xfId="2173"/>
    <cellStyle name="Currency 3 5" xfId="2174"/>
    <cellStyle name="Currency 3 6" xfId="2175"/>
    <cellStyle name="Currency 3 7" xfId="2176"/>
    <cellStyle name="Currency 4" xfId="2177"/>
    <cellStyle name="Currency 4 2" xfId="2178"/>
    <cellStyle name="Currency 4 2 2" xfId="2179"/>
    <cellStyle name="Currency 4 3" xfId="2180"/>
    <cellStyle name="Currency 4 4" xfId="2181"/>
    <cellStyle name="Currency 5" xfId="2182"/>
    <cellStyle name="Currency 5 2" xfId="2183"/>
    <cellStyle name="Currency 5 3" xfId="2184"/>
    <cellStyle name="Currency 6" xfId="2185"/>
    <cellStyle name="Currency 7" xfId="2186"/>
    <cellStyle name="Currency 8" xfId="5"/>
    <cellStyle name="Currency 8 2" xfId="2187"/>
    <cellStyle name="Emphasis 1" xfId="2188"/>
    <cellStyle name="Emphasis 2" xfId="2189"/>
    <cellStyle name="Emphasis 3" xfId="2190"/>
    <cellStyle name="entry lines" xfId="2191"/>
    <cellStyle name="entry lines 2" xfId="2192"/>
    <cellStyle name="entry lines 3" xfId="2193"/>
    <cellStyle name="entry lines 4" xfId="2194"/>
    <cellStyle name="Explanatory Text 2" xfId="2195"/>
    <cellStyle name="Explanatory Text 2 2" xfId="2196"/>
    <cellStyle name="Explanatory Text 2 3" xfId="2197"/>
    <cellStyle name="Explanatory Text 3" xfId="2198"/>
    <cellStyle name="Explanatory Text 3 2" xfId="2199"/>
    <cellStyle name="Explanatory Text 4" xfId="2200"/>
    <cellStyle name="Explanatory Text 5" xfId="2201"/>
    <cellStyle name="Explanatory Text 6" xfId="2202"/>
    <cellStyle name="form" xfId="2203"/>
    <cellStyle name="Good 2" xfId="2204"/>
    <cellStyle name="Good 2 2" xfId="2205"/>
    <cellStyle name="Good 2 3" xfId="2206"/>
    <cellStyle name="Good 3" xfId="2207"/>
    <cellStyle name="Good 3 2" xfId="2208"/>
    <cellStyle name="Good 4" xfId="2209"/>
    <cellStyle name="Good 5" xfId="2210"/>
    <cellStyle name="Good 6" xfId="2211"/>
    <cellStyle name="HEADING" xfId="2212"/>
    <cellStyle name="Heading 1 2" xfId="2213"/>
    <cellStyle name="Heading 1 2 2" xfId="2214"/>
    <cellStyle name="Heading 1 2 3" xfId="2215"/>
    <cellStyle name="Heading 1 3" xfId="2216"/>
    <cellStyle name="Heading 1 3 2" xfId="2217"/>
    <cellStyle name="Heading 1 4" xfId="2218"/>
    <cellStyle name="Heading 1 5" xfId="2219"/>
    <cellStyle name="Heading 1 5 2" xfId="2220"/>
    <cellStyle name="Heading 1 5 2 2" xfId="2221"/>
    <cellStyle name="Heading 1 6" xfId="2222"/>
    <cellStyle name="Heading 1 6 2" xfId="2223"/>
    <cellStyle name="Heading 1 7" xfId="2224"/>
    <cellStyle name="Heading 1 8" xfId="2225"/>
    <cellStyle name="Heading 2 2" xfId="2226"/>
    <cellStyle name="Heading 2 2 2" xfId="2227"/>
    <cellStyle name="Heading 2 2 3" xfId="2228"/>
    <cellStyle name="Heading 2 3" xfId="2229"/>
    <cellStyle name="Heading 2 3 2" xfId="2230"/>
    <cellStyle name="Heading 2 4" xfId="2231"/>
    <cellStyle name="Heading 2 5" xfId="2232"/>
    <cellStyle name="Heading 2 5 2" xfId="2233"/>
    <cellStyle name="Heading 2 5 2 2" xfId="2234"/>
    <cellStyle name="Heading 2 6" xfId="2235"/>
    <cellStyle name="Heading 2 6 2" xfId="2236"/>
    <cellStyle name="Heading 2 7" xfId="2237"/>
    <cellStyle name="Heading 2 8" xfId="2238"/>
    <cellStyle name="Heading 3 2" xfId="2239"/>
    <cellStyle name="Heading 3 2 2" xfId="2240"/>
    <cellStyle name="Heading 3 2 3" xfId="2241"/>
    <cellStyle name="Heading 3 3" xfId="2242"/>
    <cellStyle name="Heading 3 3 2" xfId="2243"/>
    <cellStyle name="Heading 3 4" xfId="2244"/>
    <cellStyle name="Heading 3 5" xfId="2245"/>
    <cellStyle name="Heading 3 5 2" xfId="2246"/>
    <cellStyle name="Heading 3 5 2 2" xfId="2247"/>
    <cellStyle name="Heading 3 6" xfId="2248"/>
    <cellStyle name="Heading 3 6 2" xfId="2249"/>
    <cellStyle name="Heading 3 7" xfId="2250"/>
    <cellStyle name="Heading 3 8" xfId="2251"/>
    <cellStyle name="Heading 4 2" xfId="2252"/>
    <cellStyle name="Heading 4 2 2" xfId="2253"/>
    <cellStyle name="Heading 4 2 3" xfId="2254"/>
    <cellStyle name="Heading 4 3" xfId="2255"/>
    <cellStyle name="Heading 4 3 2" xfId="2256"/>
    <cellStyle name="Heading 4 4" xfId="2257"/>
    <cellStyle name="Heading 4 5" xfId="2258"/>
    <cellStyle name="Heading 4 5 2" xfId="2259"/>
    <cellStyle name="Heading 4 5 2 2" xfId="2260"/>
    <cellStyle name="Heading 4 6" xfId="2261"/>
    <cellStyle name="Heading 4 6 2" xfId="2262"/>
    <cellStyle name="Heading 4 7" xfId="2263"/>
    <cellStyle name="Heading 4 8" xfId="2264"/>
    <cellStyle name="Hyperlink 2" xfId="2265"/>
    <cellStyle name="Hyperlink 2 2" xfId="2266"/>
    <cellStyle name="Input 2" xfId="2267"/>
    <cellStyle name="Input 2 2" xfId="2268"/>
    <cellStyle name="Input 2 2 2" xfId="2269"/>
    <cellStyle name="Input 2 2 3" xfId="2270"/>
    <cellStyle name="Input 2 3" xfId="2271"/>
    <cellStyle name="Input 2 3 2" xfId="2272"/>
    <cellStyle name="Input 2 4" xfId="2273"/>
    <cellStyle name="Input 2 4 2" xfId="2274"/>
    <cellStyle name="Input 2 4 2 2" xfId="2275"/>
    <cellStyle name="Input 2 4 3" xfId="2276"/>
    <cellStyle name="Input 2 5" xfId="2277"/>
    <cellStyle name="Input 3" xfId="2278"/>
    <cellStyle name="Input 3 2" xfId="2279"/>
    <cellStyle name="Input 3 2 2" xfId="2280"/>
    <cellStyle name="Input 3 3" xfId="2281"/>
    <cellStyle name="Input 3 3 2" xfId="2282"/>
    <cellStyle name="Input 3 3 3" xfId="2283"/>
    <cellStyle name="Input 3 4" xfId="2284"/>
    <cellStyle name="Input 3 5" xfId="2285"/>
    <cellStyle name="Input 4" xfId="2286"/>
    <cellStyle name="Input 4 2" xfId="2287"/>
    <cellStyle name="Input 4 3" xfId="2288"/>
    <cellStyle name="Input 5" xfId="2289"/>
    <cellStyle name="Input 5 2" xfId="2290"/>
    <cellStyle name="Input 6" xfId="2291"/>
    <cellStyle name="Input 7" xfId="2292"/>
    <cellStyle name="LE" xfId="2293"/>
    <cellStyle name="LE 2" xfId="2294"/>
    <cellStyle name="LE 2 2" xfId="2295"/>
    <cellStyle name="LE 3" xfId="2296"/>
    <cellStyle name="LE 3 2" xfId="2297"/>
    <cellStyle name="LE 4" xfId="2298"/>
    <cellStyle name="Linked Cell 2" xfId="2299"/>
    <cellStyle name="Linked Cell 2 2" xfId="2300"/>
    <cellStyle name="Linked Cell 2 3" xfId="2301"/>
    <cellStyle name="Linked Cell 3" xfId="2302"/>
    <cellStyle name="Linked Cell 3 2" xfId="2303"/>
    <cellStyle name="Linked Cell 4" xfId="2304"/>
    <cellStyle name="Linked Cell 5" xfId="2305"/>
    <cellStyle name="Linked Cell 6" xfId="2306"/>
    <cellStyle name="LRP 96" xfId="2307"/>
    <cellStyle name="LRP 96 2" xfId="2308"/>
    <cellStyle name="LRP 96 2 2" xfId="2309"/>
    <cellStyle name="LRP 96 3" xfId="2310"/>
    <cellStyle name="LRP 96 3 2" xfId="2311"/>
    <cellStyle name="LRP 96 4" xfId="2312"/>
    <cellStyle name="Moneda [0]_VERA" xfId="2313"/>
    <cellStyle name="Moneda_VERA" xfId="2314"/>
    <cellStyle name="Neutral 2" xfId="2315"/>
    <cellStyle name="Neutral 2 2" xfId="2316"/>
    <cellStyle name="Neutral 2 3" xfId="2317"/>
    <cellStyle name="Neutral 3" xfId="2318"/>
    <cellStyle name="Neutral 3 2" xfId="2319"/>
    <cellStyle name="Neutral 4" xfId="2320"/>
    <cellStyle name="Neutral 5" xfId="2321"/>
    <cellStyle name="Neutral 6" xfId="2322"/>
    <cellStyle name="Normal" xfId="0" builtinId="0"/>
    <cellStyle name="Normal - Style1" xfId="2323"/>
    <cellStyle name="Normal - Style1 2" xfId="2324"/>
    <cellStyle name="Normal - Style1 3" xfId="2325"/>
    <cellStyle name="Normal - Style1 4" xfId="2326"/>
    <cellStyle name="Normal - Style1 5" xfId="2327"/>
    <cellStyle name="Normal - Style1 6" xfId="2328"/>
    <cellStyle name="Normal - Style1 7" xfId="2329"/>
    <cellStyle name="Normal - Style1 8" xfId="2330"/>
    <cellStyle name="Normal 10" xfId="2331"/>
    <cellStyle name="Normal 10 10" xfId="2332"/>
    <cellStyle name="Normal 10 11" xfId="2333"/>
    <cellStyle name="Normal 10 12" xfId="2334"/>
    <cellStyle name="Normal 10 13" xfId="2335"/>
    <cellStyle name="Normal 10 14" xfId="2336"/>
    <cellStyle name="Normal 10 15" xfId="2337"/>
    <cellStyle name="Normal 10 16" xfId="2338"/>
    <cellStyle name="Normal 10 17" xfId="2339"/>
    <cellStyle name="Normal 10 18" xfId="2340"/>
    <cellStyle name="Normal 10 18 2" xfId="2341"/>
    <cellStyle name="Normal 10 18 2 2" xfId="2342"/>
    <cellStyle name="Normal 10 18 3" xfId="2343"/>
    <cellStyle name="Normal 10 18 3 2" xfId="2344"/>
    <cellStyle name="Normal 10 18 4" xfId="2345"/>
    <cellStyle name="Normal 10 19" xfId="2346"/>
    <cellStyle name="Normal 10 2" xfId="2347"/>
    <cellStyle name="Normal 10 2 10" xfId="2348"/>
    <cellStyle name="Normal 10 2 2" xfId="2349"/>
    <cellStyle name="Normal 10 2 2 2" xfId="2350"/>
    <cellStyle name="Normal 10 2 2 2 2" xfId="2351"/>
    <cellStyle name="Normal 10 2 2 2 2 2" xfId="2352"/>
    <cellStyle name="Normal 10 2 2 2 3" xfId="2353"/>
    <cellStyle name="Normal 10 2 2 2 3 2" xfId="2354"/>
    <cellStyle name="Normal 10 2 2 2 4" xfId="2355"/>
    <cellStyle name="Normal 10 2 2 3" xfId="2356"/>
    <cellStyle name="Normal 10 2 2 3 2" xfId="2357"/>
    <cellStyle name="Normal 10 2 2 3 2 2" xfId="2358"/>
    <cellStyle name="Normal 10 2 2 3 3" xfId="2359"/>
    <cellStyle name="Normal 10 2 2 3 3 2" xfId="2360"/>
    <cellStyle name="Normal 10 2 2 3 4" xfId="2361"/>
    <cellStyle name="Normal 10 2 2 4" xfId="2362"/>
    <cellStyle name="Normal 10 2 2 4 2" xfId="2363"/>
    <cellStyle name="Normal 10 2 2 4 2 2" xfId="2364"/>
    <cellStyle name="Normal 10 2 2 4 3" xfId="2365"/>
    <cellStyle name="Normal 10 2 2 4 3 2" xfId="2366"/>
    <cellStyle name="Normal 10 2 2 4 4" xfId="2367"/>
    <cellStyle name="Normal 10 2 2 5" xfId="2368"/>
    <cellStyle name="Normal 10 2 2 5 2" xfId="2369"/>
    <cellStyle name="Normal 10 2 2 6" xfId="2370"/>
    <cellStyle name="Normal 10 2 2 6 2" xfId="2371"/>
    <cellStyle name="Normal 10 2 2 7" xfId="2372"/>
    <cellStyle name="Normal 10 2 3" xfId="2373"/>
    <cellStyle name="Normal 10 2 3 2" xfId="2374"/>
    <cellStyle name="Normal 10 2 3 3" xfId="2375"/>
    <cellStyle name="Normal 10 2 3 3 2" xfId="2376"/>
    <cellStyle name="Normal 10 2 3 4" xfId="2377"/>
    <cellStyle name="Normal 10 2 3 4 2" xfId="2378"/>
    <cellStyle name="Normal 10 2 3 5" xfId="2379"/>
    <cellStyle name="Normal 10 2 4" xfId="2380"/>
    <cellStyle name="Normal 10 2 4 2" xfId="2381"/>
    <cellStyle name="Normal 10 2 4 2 2" xfId="2382"/>
    <cellStyle name="Normal 10 2 4 3" xfId="2383"/>
    <cellStyle name="Normal 10 2 4 3 2" xfId="2384"/>
    <cellStyle name="Normal 10 2 4 4" xfId="2385"/>
    <cellStyle name="Normal 10 2 5" xfId="2386"/>
    <cellStyle name="Normal 10 2 5 2" xfId="2387"/>
    <cellStyle name="Normal 10 2 5 2 2" xfId="2388"/>
    <cellStyle name="Normal 10 2 5 3" xfId="2389"/>
    <cellStyle name="Normal 10 2 5 3 2" xfId="2390"/>
    <cellStyle name="Normal 10 2 5 4" xfId="2391"/>
    <cellStyle name="Normal 10 2 6" xfId="2392"/>
    <cellStyle name="Normal 10 2 6 2" xfId="2393"/>
    <cellStyle name="Normal 10 2 7" xfId="2394"/>
    <cellStyle name="Normal 10 2 7 2" xfId="2395"/>
    <cellStyle name="Normal 10 2 8" xfId="2396"/>
    <cellStyle name="Normal 10 2 8 2" xfId="2397"/>
    <cellStyle name="Normal 10 2 9" xfId="2398"/>
    <cellStyle name="Normal 10 20" xfId="2399"/>
    <cellStyle name="Normal 10 20 2" xfId="2400"/>
    <cellStyle name="Normal 10 21" xfId="2401"/>
    <cellStyle name="Normal 10 22" xfId="2402"/>
    <cellStyle name="Normal 10 3" xfId="2403"/>
    <cellStyle name="Normal 10 3 10" xfId="2404"/>
    <cellStyle name="Normal 10 3 2" xfId="2405"/>
    <cellStyle name="Normal 10 3 2 2" xfId="2406"/>
    <cellStyle name="Normal 10 3 2 2 2" xfId="2407"/>
    <cellStyle name="Normal 10 3 2 2 2 2" xfId="2408"/>
    <cellStyle name="Normal 10 3 2 2 3" xfId="2409"/>
    <cellStyle name="Normal 10 3 2 2 3 2" xfId="2410"/>
    <cellStyle name="Normal 10 3 2 2 4" xfId="2411"/>
    <cellStyle name="Normal 10 3 2 3" xfId="2412"/>
    <cellStyle name="Normal 10 3 2 3 2" xfId="2413"/>
    <cellStyle name="Normal 10 3 2 3 2 2" xfId="2414"/>
    <cellStyle name="Normal 10 3 2 3 3" xfId="2415"/>
    <cellStyle name="Normal 10 3 2 3 3 2" xfId="2416"/>
    <cellStyle name="Normal 10 3 2 3 4" xfId="2417"/>
    <cellStyle name="Normal 10 3 2 4" xfId="2418"/>
    <cellStyle name="Normal 10 3 2 4 2" xfId="2419"/>
    <cellStyle name="Normal 10 3 2 4 2 2" xfId="2420"/>
    <cellStyle name="Normal 10 3 2 4 3" xfId="2421"/>
    <cellStyle name="Normal 10 3 2 4 3 2" xfId="2422"/>
    <cellStyle name="Normal 10 3 2 4 4" xfId="2423"/>
    <cellStyle name="Normal 10 3 2 5" xfId="2424"/>
    <cellStyle name="Normal 10 3 2 5 2" xfId="2425"/>
    <cellStyle name="Normal 10 3 2 6" xfId="2426"/>
    <cellStyle name="Normal 10 3 2 6 2" xfId="2427"/>
    <cellStyle name="Normal 10 3 2 7" xfId="2428"/>
    <cellStyle name="Normal 10 3 3" xfId="2429"/>
    <cellStyle name="Normal 10 3 3 2" xfId="2430"/>
    <cellStyle name="Normal 10 3 3 3" xfId="2431"/>
    <cellStyle name="Normal 10 3 3 3 2" xfId="2432"/>
    <cellStyle name="Normal 10 3 3 4" xfId="2433"/>
    <cellStyle name="Normal 10 3 3 4 2" xfId="2434"/>
    <cellStyle name="Normal 10 3 3 5" xfId="2435"/>
    <cellStyle name="Normal 10 3 4" xfId="2436"/>
    <cellStyle name="Normal 10 3 4 2" xfId="2437"/>
    <cellStyle name="Normal 10 3 4 2 2" xfId="2438"/>
    <cellStyle name="Normal 10 3 4 3" xfId="2439"/>
    <cellStyle name="Normal 10 3 4 3 2" xfId="2440"/>
    <cellStyle name="Normal 10 3 4 4" xfId="2441"/>
    <cellStyle name="Normal 10 3 5" xfId="2442"/>
    <cellStyle name="Normal 10 3 5 2" xfId="2443"/>
    <cellStyle name="Normal 10 3 5 2 2" xfId="2444"/>
    <cellStyle name="Normal 10 3 5 3" xfId="2445"/>
    <cellStyle name="Normal 10 3 5 3 2" xfId="2446"/>
    <cellStyle name="Normal 10 3 5 4" xfId="2447"/>
    <cellStyle name="Normal 10 3 6" xfId="2448"/>
    <cellStyle name="Normal 10 3 6 2" xfId="2449"/>
    <cellStyle name="Normal 10 3 7" xfId="2450"/>
    <cellStyle name="Normal 10 3 7 2" xfId="2451"/>
    <cellStyle name="Normal 10 3 8" xfId="2452"/>
    <cellStyle name="Normal 10 3 8 2" xfId="2453"/>
    <cellStyle name="Normal 10 3 9" xfId="2454"/>
    <cellStyle name="Normal 10 4" xfId="2455"/>
    <cellStyle name="Normal 10 4 2" xfId="2456"/>
    <cellStyle name="Normal 10 4 2 2" xfId="2457"/>
    <cellStyle name="Normal 10 4 2 3" xfId="2458"/>
    <cellStyle name="Normal 10 4 2 3 2" xfId="2459"/>
    <cellStyle name="Normal 10 4 2 4" xfId="2460"/>
    <cellStyle name="Normal 10 4 2 4 2" xfId="2461"/>
    <cellStyle name="Normal 10 4 2 5" xfId="2462"/>
    <cellStyle name="Normal 10 4 3" xfId="2463"/>
    <cellStyle name="Normal 10 4 3 2" xfId="2464"/>
    <cellStyle name="Normal 10 4 3 2 2" xfId="2465"/>
    <cellStyle name="Normal 10 4 3 3" xfId="2466"/>
    <cellStyle name="Normal 10 4 3 3 2" xfId="2467"/>
    <cellStyle name="Normal 10 4 3 4" xfId="2468"/>
    <cellStyle name="Normal 10 4 4" xfId="2469"/>
    <cellStyle name="Normal 10 4 4 2" xfId="2470"/>
    <cellStyle name="Normal 10 4 4 2 2" xfId="2471"/>
    <cellStyle name="Normal 10 4 4 3" xfId="2472"/>
    <cellStyle name="Normal 10 4 4 3 2" xfId="2473"/>
    <cellStyle name="Normal 10 4 4 4" xfId="2474"/>
    <cellStyle name="Normal 10 4 5" xfId="2475"/>
    <cellStyle name="Normal 10 4 5 2" xfId="2476"/>
    <cellStyle name="Normal 10 4 6" xfId="2477"/>
    <cellStyle name="Normal 10 4 6 2" xfId="2478"/>
    <cellStyle name="Normal 10 4 7" xfId="2479"/>
    <cellStyle name="Normal 10 5" xfId="2480"/>
    <cellStyle name="Normal 10 5 2" xfId="2481"/>
    <cellStyle name="Normal 10 5 3" xfId="2482"/>
    <cellStyle name="Normal 10 5 3 2" xfId="2483"/>
    <cellStyle name="Normal 10 5 4" xfId="2484"/>
    <cellStyle name="Normal 10 5 4 2" xfId="2485"/>
    <cellStyle name="Normal 10 5 5" xfId="2486"/>
    <cellStyle name="Normal 10 6" xfId="2487"/>
    <cellStyle name="Normal 10 6 2" xfId="2488"/>
    <cellStyle name="Normal 10 6 3" xfId="2489"/>
    <cellStyle name="Normal 10 6 3 2" xfId="2490"/>
    <cellStyle name="Normal 10 6 4" xfId="2491"/>
    <cellStyle name="Normal 10 6 4 2" xfId="2492"/>
    <cellStyle name="Normal 10 6 5" xfId="2493"/>
    <cellStyle name="Normal 10 7" xfId="2494"/>
    <cellStyle name="Normal 10 8" xfId="2495"/>
    <cellStyle name="Normal 10 9" xfId="2496"/>
    <cellStyle name="Normal 100" xfId="2497"/>
    <cellStyle name="Normal 101" xfId="2498"/>
    <cellStyle name="Normal 102" xfId="2499"/>
    <cellStyle name="Normal 103" xfId="2500"/>
    <cellStyle name="Normal 104" xfId="2501"/>
    <cellStyle name="Normal 105" xfId="2502"/>
    <cellStyle name="Normal 106" xfId="2503"/>
    <cellStyle name="Normal 107" xfId="2504"/>
    <cellStyle name="Normal 108" xfId="2505"/>
    <cellStyle name="Normal 109" xfId="2506"/>
    <cellStyle name="Normal 11" xfId="2507"/>
    <cellStyle name="Normal 11 10" xfId="2508"/>
    <cellStyle name="Normal 11 11" xfId="2509"/>
    <cellStyle name="Normal 11 12" xfId="2510"/>
    <cellStyle name="Normal 11 13" xfId="2511"/>
    <cellStyle name="Normal 11 14" xfId="2512"/>
    <cellStyle name="Normal 11 15" xfId="2513"/>
    <cellStyle name="Normal 11 16" xfId="2514"/>
    <cellStyle name="Normal 11 17" xfId="2515"/>
    <cellStyle name="Normal 11 17 2" xfId="2516"/>
    <cellStyle name="Normal 11 17 2 2" xfId="2517"/>
    <cellStyle name="Normal 11 17 3" xfId="2518"/>
    <cellStyle name="Normal 11 17 3 2" xfId="2519"/>
    <cellStyle name="Normal 11 17 4" xfId="2520"/>
    <cellStyle name="Normal 11 18" xfId="2521"/>
    <cellStyle name="Normal 11 19" xfId="2522"/>
    <cellStyle name="Normal 11 19 2" xfId="2523"/>
    <cellStyle name="Normal 11 2" xfId="2524"/>
    <cellStyle name="Normal 11 2 2" xfId="2525"/>
    <cellStyle name="Normal 11 2 2 2" xfId="2526"/>
    <cellStyle name="Normal 11 2 2 2 2" xfId="2527"/>
    <cellStyle name="Normal 11 2 2 3" xfId="2528"/>
    <cellStyle name="Normal 11 2 2 3 2" xfId="2529"/>
    <cellStyle name="Normal 11 2 3" xfId="2530"/>
    <cellStyle name="Normal 11 20" xfId="2531"/>
    <cellStyle name="Normal 11 21" xfId="2532"/>
    <cellStyle name="Normal 11 3" xfId="2533"/>
    <cellStyle name="Normal 11 3 10" xfId="2534"/>
    <cellStyle name="Normal 11 3 2" xfId="2535"/>
    <cellStyle name="Normal 11 3 2 2" xfId="2536"/>
    <cellStyle name="Normal 11 3 2 2 2" xfId="2537"/>
    <cellStyle name="Normal 11 3 2 2 2 2" xfId="2538"/>
    <cellStyle name="Normal 11 3 2 2 3" xfId="2539"/>
    <cellStyle name="Normal 11 3 2 2 3 2" xfId="2540"/>
    <cellStyle name="Normal 11 3 2 2 4" xfId="2541"/>
    <cellStyle name="Normal 11 3 2 3" xfId="2542"/>
    <cellStyle name="Normal 11 3 2 3 2" xfId="2543"/>
    <cellStyle name="Normal 11 3 2 3 2 2" xfId="2544"/>
    <cellStyle name="Normal 11 3 2 3 3" xfId="2545"/>
    <cellStyle name="Normal 11 3 2 3 3 2" xfId="2546"/>
    <cellStyle name="Normal 11 3 2 3 4" xfId="2547"/>
    <cellStyle name="Normal 11 3 2 4" xfId="2548"/>
    <cellStyle name="Normal 11 3 2 4 2" xfId="2549"/>
    <cellStyle name="Normal 11 3 2 4 2 2" xfId="2550"/>
    <cellStyle name="Normal 11 3 2 4 3" xfId="2551"/>
    <cellStyle name="Normal 11 3 2 4 3 2" xfId="2552"/>
    <cellStyle name="Normal 11 3 2 4 4" xfId="2553"/>
    <cellStyle name="Normal 11 3 2 5" xfId="2554"/>
    <cellStyle name="Normal 11 3 2 5 2" xfId="2555"/>
    <cellStyle name="Normal 11 3 2 6" xfId="2556"/>
    <cellStyle name="Normal 11 3 2 6 2" xfId="2557"/>
    <cellStyle name="Normal 11 3 2 7" xfId="2558"/>
    <cellStyle name="Normal 11 3 3" xfId="2559"/>
    <cellStyle name="Normal 11 3 3 2" xfId="2560"/>
    <cellStyle name="Normal 11 3 3 3" xfId="2561"/>
    <cellStyle name="Normal 11 3 3 3 2" xfId="2562"/>
    <cellStyle name="Normal 11 3 3 4" xfId="2563"/>
    <cellStyle name="Normal 11 3 3 4 2" xfId="2564"/>
    <cellStyle name="Normal 11 3 3 5" xfId="2565"/>
    <cellStyle name="Normal 11 3 4" xfId="2566"/>
    <cellStyle name="Normal 11 3 4 2" xfId="2567"/>
    <cellStyle name="Normal 11 3 4 2 2" xfId="2568"/>
    <cellStyle name="Normal 11 3 4 3" xfId="2569"/>
    <cellStyle name="Normal 11 3 4 3 2" xfId="2570"/>
    <cellStyle name="Normal 11 3 4 4" xfId="2571"/>
    <cellStyle name="Normal 11 3 5" xfId="2572"/>
    <cellStyle name="Normal 11 3 5 2" xfId="2573"/>
    <cellStyle name="Normal 11 3 5 2 2" xfId="2574"/>
    <cellStyle name="Normal 11 3 5 3" xfId="2575"/>
    <cellStyle name="Normal 11 3 5 3 2" xfId="2576"/>
    <cellStyle name="Normal 11 3 5 4" xfId="2577"/>
    <cellStyle name="Normal 11 3 6" xfId="2578"/>
    <cellStyle name="Normal 11 3 6 2" xfId="2579"/>
    <cellStyle name="Normal 11 3 7" xfId="2580"/>
    <cellStyle name="Normal 11 3 7 2" xfId="2581"/>
    <cellStyle name="Normal 11 3 8" xfId="2582"/>
    <cellStyle name="Normal 11 3 8 2" xfId="2583"/>
    <cellStyle name="Normal 11 3 9" xfId="2584"/>
    <cellStyle name="Normal 11 4" xfId="2585"/>
    <cellStyle name="Normal 11 4 10" xfId="2586"/>
    <cellStyle name="Normal 11 4 2" xfId="2587"/>
    <cellStyle name="Normal 11 4 2 2" xfId="2588"/>
    <cellStyle name="Normal 11 4 2 2 2" xfId="2589"/>
    <cellStyle name="Normal 11 4 2 2 2 2" xfId="2590"/>
    <cellStyle name="Normal 11 4 2 2 3" xfId="2591"/>
    <cellStyle name="Normal 11 4 2 2 3 2" xfId="2592"/>
    <cellStyle name="Normal 11 4 2 2 4" xfId="2593"/>
    <cellStyle name="Normal 11 4 2 3" xfId="2594"/>
    <cellStyle name="Normal 11 4 2 3 2" xfId="2595"/>
    <cellStyle name="Normal 11 4 2 3 2 2" xfId="2596"/>
    <cellStyle name="Normal 11 4 2 3 3" xfId="2597"/>
    <cellStyle name="Normal 11 4 2 3 3 2" xfId="2598"/>
    <cellStyle name="Normal 11 4 2 3 4" xfId="2599"/>
    <cellStyle name="Normal 11 4 2 4" xfId="2600"/>
    <cellStyle name="Normal 11 4 2 4 2" xfId="2601"/>
    <cellStyle name="Normal 11 4 2 4 2 2" xfId="2602"/>
    <cellStyle name="Normal 11 4 2 4 3" xfId="2603"/>
    <cellStyle name="Normal 11 4 2 4 3 2" xfId="2604"/>
    <cellStyle name="Normal 11 4 2 4 4" xfId="2605"/>
    <cellStyle name="Normal 11 4 2 5" xfId="2606"/>
    <cellStyle name="Normal 11 4 2 5 2" xfId="2607"/>
    <cellStyle name="Normal 11 4 2 6" xfId="2608"/>
    <cellStyle name="Normal 11 4 2 6 2" xfId="2609"/>
    <cellStyle name="Normal 11 4 2 7" xfId="2610"/>
    <cellStyle name="Normal 11 4 3" xfId="2611"/>
    <cellStyle name="Normal 11 4 3 2" xfId="2612"/>
    <cellStyle name="Normal 11 4 3 3" xfId="2613"/>
    <cellStyle name="Normal 11 4 3 3 2" xfId="2614"/>
    <cellStyle name="Normal 11 4 3 4" xfId="2615"/>
    <cellStyle name="Normal 11 4 3 4 2" xfId="2616"/>
    <cellStyle name="Normal 11 4 3 5" xfId="2617"/>
    <cellStyle name="Normal 11 4 4" xfId="2618"/>
    <cellStyle name="Normal 11 4 4 2" xfId="2619"/>
    <cellStyle name="Normal 11 4 4 2 2" xfId="2620"/>
    <cellStyle name="Normal 11 4 4 3" xfId="2621"/>
    <cellStyle name="Normal 11 4 4 3 2" xfId="2622"/>
    <cellStyle name="Normal 11 4 4 4" xfId="2623"/>
    <cellStyle name="Normal 11 4 5" xfId="2624"/>
    <cellStyle name="Normal 11 4 5 2" xfId="2625"/>
    <cellStyle name="Normal 11 4 5 2 2" xfId="2626"/>
    <cellStyle name="Normal 11 4 5 3" xfId="2627"/>
    <cellStyle name="Normal 11 4 5 3 2" xfId="2628"/>
    <cellStyle name="Normal 11 4 5 4" xfId="2629"/>
    <cellStyle name="Normal 11 4 6" xfId="2630"/>
    <cellStyle name="Normal 11 4 6 2" xfId="2631"/>
    <cellStyle name="Normal 11 4 7" xfId="2632"/>
    <cellStyle name="Normal 11 4 7 2" xfId="2633"/>
    <cellStyle name="Normal 11 4 8" xfId="2634"/>
    <cellStyle name="Normal 11 4 8 2" xfId="2635"/>
    <cellStyle name="Normal 11 4 9" xfId="2636"/>
    <cellStyle name="Normal 11 5" xfId="2637"/>
    <cellStyle name="Normal 11 5 2" xfId="2638"/>
    <cellStyle name="Normal 11 5 2 2" xfId="2639"/>
    <cellStyle name="Normal 11 5 2 3" xfId="2640"/>
    <cellStyle name="Normal 11 5 2 3 2" xfId="2641"/>
    <cellStyle name="Normal 11 5 2 4" xfId="2642"/>
    <cellStyle name="Normal 11 5 2 4 2" xfId="2643"/>
    <cellStyle name="Normal 11 5 2 5" xfId="2644"/>
    <cellStyle name="Normal 11 5 3" xfId="2645"/>
    <cellStyle name="Normal 11 5 3 2" xfId="2646"/>
    <cellStyle name="Normal 11 5 3 2 2" xfId="2647"/>
    <cellStyle name="Normal 11 5 3 3" xfId="2648"/>
    <cellStyle name="Normal 11 5 3 3 2" xfId="2649"/>
    <cellStyle name="Normal 11 5 3 4" xfId="2650"/>
    <cellStyle name="Normal 11 5 4" xfId="2651"/>
    <cellStyle name="Normal 11 5 4 2" xfId="2652"/>
    <cellStyle name="Normal 11 5 4 2 2" xfId="2653"/>
    <cellStyle name="Normal 11 5 4 3" xfId="2654"/>
    <cellStyle name="Normal 11 5 4 3 2" xfId="2655"/>
    <cellStyle name="Normal 11 5 4 4" xfId="2656"/>
    <cellStyle name="Normal 11 5 5" xfId="2657"/>
    <cellStyle name="Normal 11 5 5 2" xfId="2658"/>
    <cellStyle name="Normal 11 5 6" xfId="2659"/>
    <cellStyle name="Normal 11 5 6 2" xfId="2660"/>
    <cellStyle name="Normal 11 5 7" xfId="2661"/>
    <cellStyle name="Normal 11 6" xfId="2662"/>
    <cellStyle name="Normal 11 6 2" xfId="2663"/>
    <cellStyle name="Normal 11 6 3" xfId="2664"/>
    <cellStyle name="Normal 11 6 3 2" xfId="2665"/>
    <cellStyle name="Normal 11 6 4" xfId="2666"/>
    <cellStyle name="Normal 11 6 4 2" xfId="2667"/>
    <cellStyle name="Normal 11 6 5" xfId="2668"/>
    <cellStyle name="Normal 11 7" xfId="2669"/>
    <cellStyle name="Normal 11 7 2" xfId="2670"/>
    <cellStyle name="Normal 11 7 3" xfId="2671"/>
    <cellStyle name="Normal 11 7 3 2" xfId="2672"/>
    <cellStyle name="Normal 11 7 4" xfId="2673"/>
    <cellStyle name="Normal 11 7 4 2" xfId="2674"/>
    <cellStyle name="Normal 11 7 5" xfId="2675"/>
    <cellStyle name="Normal 11 8" xfId="2676"/>
    <cellStyle name="Normal 11 9" xfId="2677"/>
    <cellStyle name="Normal 110" xfId="2678"/>
    <cellStyle name="Normal 111" xfId="2679"/>
    <cellStyle name="Normal 111 2" xfId="2680"/>
    <cellStyle name="Normal 112" xfId="2681"/>
    <cellStyle name="Normal 112 2" xfId="2682"/>
    <cellStyle name="Normal 113" xfId="2683"/>
    <cellStyle name="Normal 113 2" xfId="2684"/>
    <cellStyle name="Normal 114" xfId="2685"/>
    <cellStyle name="Normal 114 2" xfId="2686"/>
    <cellStyle name="Normal 115" xfId="2687"/>
    <cellStyle name="Normal 115 2" xfId="2688"/>
    <cellStyle name="Normal 116" xfId="2689"/>
    <cellStyle name="Normal 117" xfId="2690"/>
    <cellStyle name="Normal 118" xfId="2691"/>
    <cellStyle name="Normal 118 2" xfId="2692"/>
    <cellStyle name="Normal 118 2 2" xfId="2693"/>
    <cellStyle name="Normal 118 3" xfId="2694"/>
    <cellStyle name="Normal 118 3 2" xfId="2695"/>
    <cellStyle name="Normal 119" xfId="2696"/>
    <cellStyle name="Normal 119 2" xfId="2697"/>
    <cellStyle name="Normal 119 2 2" xfId="2698"/>
    <cellStyle name="Normal 119 3" xfId="2699"/>
    <cellStyle name="Normal 119 3 2" xfId="2700"/>
    <cellStyle name="Normal 12" xfId="2701"/>
    <cellStyle name="Normal 12 10" xfId="2702"/>
    <cellStyle name="Normal 12 11" xfId="2703"/>
    <cellStyle name="Normal 12 12" xfId="2704"/>
    <cellStyle name="Normal 12 13" xfId="2705"/>
    <cellStyle name="Normal 12 14" xfId="2706"/>
    <cellStyle name="Normal 12 15" xfId="2707"/>
    <cellStyle name="Normal 12 16" xfId="2708"/>
    <cellStyle name="Normal 12 17" xfId="2709"/>
    <cellStyle name="Normal 12 18" xfId="2710"/>
    <cellStyle name="Normal 12 18 2" xfId="2711"/>
    <cellStyle name="Normal 12 18 2 2" xfId="2712"/>
    <cellStyle name="Normal 12 18 3" xfId="2713"/>
    <cellStyle name="Normal 12 18 3 2" xfId="2714"/>
    <cellStyle name="Normal 12 18 4" xfId="2715"/>
    <cellStyle name="Normal 12 19" xfId="2716"/>
    <cellStyle name="Normal 12 2" xfId="2717"/>
    <cellStyle name="Normal 12 2 10" xfId="2718"/>
    <cellStyle name="Normal 12 2 2" xfId="2719"/>
    <cellStyle name="Normal 12 2 2 2" xfId="2720"/>
    <cellStyle name="Normal 12 2 2 2 2" xfId="2721"/>
    <cellStyle name="Normal 12 2 2 2 2 2" xfId="2722"/>
    <cellStyle name="Normal 12 2 2 2 3" xfId="2723"/>
    <cellStyle name="Normal 12 2 2 2 3 2" xfId="2724"/>
    <cellStyle name="Normal 12 2 2 2 4" xfId="2725"/>
    <cellStyle name="Normal 12 2 2 3" xfId="2726"/>
    <cellStyle name="Normal 12 2 2 3 2" xfId="2727"/>
    <cellStyle name="Normal 12 2 2 3 2 2" xfId="2728"/>
    <cellStyle name="Normal 12 2 2 3 3" xfId="2729"/>
    <cellStyle name="Normal 12 2 2 3 3 2" xfId="2730"/>
    <cellStyle name="Normal 12 2 2 3 4" xfId="2731"/>
    <cellStyle name="Normal 12 2 2 4" xfId="2732"/>
    <cellStyle name="Normal 12 2 2 4 2" xfId="2733"/>
    <cellStyle name="Normal 12 2 2 4 2 2" xfId="2734"/>
    <cellStyle name="Normal 12 2 2 4 3" xfId="2735"/>
    <cellStyle name="Normal 12 2 2 4 3 2" xfId="2736"/>
    <cellStyle name="Normal 12 2 2 4 4" xfId="2737"/>
    <cellStyle name="Normal 12 2 2 5" xfId="2738"/>
    <cellStyle name="Normal 12 2 2 5 2" xfId="2739"/>
    <cellStyle name="Normal 12 2 2 6" xfId="2740"/>
    <cellStyle name="Normal 12 2 2 6 2" xfId="2741"/>
    <cellStyle name="Normal 12 2 2 7" xfId="2742"/>
    <cellStyle name="Normal 12 2 3" xfId="2743"/>
    <cellStyle name="Normal 12 2 3 2" xfId="2744"/>
    <cellStyle name="Normal 12 2 3 3" xfId="2745"/>
    <cellStyle name="Normal 12 2 3 3 2" xfId="2746"/>
    <cellStyle name="Normal 12 2 3 4" xfId="2747"/>
    <cellStyle name="Normal 12 2 3 4 2" xfId="2748"/>
    <cellStyle name="Normal 12 2 3 5" xfId="2749"/>
    <cellStyle name="Normal 12 2 4" xfId="2750"/>
    <cellStyle name="Normal 12 2 4 2" xfId="2751"/>
    <cellStyle name="Normal 12 2 4 2 2" xfId="2752"/>
    <cellStyle name="Normal 12 2 4 3" xfId="2753"/>
    <cellStyle name="Normal 12 2 4 3 2" xfId="2754"/>
    <cellStyle name="Normal 12 2 4 4" xfId="2755"/>
    <cellStyle name="Normal 12 2 5" xfId="2756"/>
    <cellStyle name="Normal 12 2 5 2" xfId="2757"/>
    <cellStyle name="Normal 12 2 5 2 2" xfId="2758"/>
    <cellStyle name="Normal 12 2 5 3" xfId="2759"/>
    <cellStyle name="Normal 12 2 5 3 2" xfId="2760"/>
    <cellStyle name="Normal 12 2 5 4" xfId="2761"/>
    <cellStyle name="Normal 12 2 6" xfId="2762"/>
    <cellStyle name="Normal 12 2 6 2" xfId="2763"/>
    <cellStyle name="Normal 12 2 7" xfId="2764"/>
    <cellStyle name="Normal 12 2 7 2" xfId="2765"/>
    <cellStyle name="Normal 12 2 8" xfId="2766"/>
    <cellStyle name="Normal 12 2 8 2" xfId="2767"/>
    <cellStyle name="Normal 12 2 9" xfId="2768"/>
    <cellStyle name="Normal 12 20" xfId="2769"/>
    <cellStyle name="Normal 12 20 2" xfId="2770"/>
    <cellStyle name="Normal 12 21" xfId="2771"/>
    <cellStyle name="Normal 12 22" xfId="2772"/>
    <cellStyle name="Normal 12 3" xfId="2773"/>
    <cellStyle name="Normal 12 3 10" xfId="2774"/>
    <cellStyle name="Normal 12 3 2" xfId="2775"/>
    <cellStyle name="Normal 12 3 2 2" xfId="2776"/>
    <cellStyle name="Normal 12 3 2 2 2" xfId="2777"/>
    <cellStyle name="Normal 12 3 2 2 2 2" xfId="2778"/>
    <cellStyle name="Normal 12 3 2 2 3" xfId="2779"/>
    <cellStyle name="Normal 12 3 2 2 3 2" xfId="2780"/>
    <cellStyle name="Normal 12 3 2 2 4" xfId="2781"/>
    <cellStyle name="Normal 12 3 2 3" xfId="2782"/>
    <cellStyle name="Normal 12 3 2 3 2" xfId="2783"/>
    <cellStyle name="Normal 12 3 2 3 2 2" xfId="2784"/>
    <cellStyle name="Normal 12 3 2 3 3" xfId="2785"/>
    <cellStyle name="Normal 12 3 2 3 3 2" xfId="2786"/>
    <cellStyle name="Normal 12 3 2 3 4" xfId="2787"/>
    <cellStyle name="Normal 12 3 2 4" xfId="2788"/>
    <cellStyle name="Normal 12 3 2 4 2" xfId="2789"/>
    <cellStyle name="Normal 12 3 2 4 2 2" xfId="2790"/>
    <cellStyle name="Normal 12 3 2 4 3" xfId="2791"/>
    <cellStyle name="Normal 12 3 2 4 3 2" xfId="2792"/>
    <cellStyle name="Normal 12 3 2 4 4" xfId="2793"/>
    <cellStyle name="Normal 12 3 2 5" xfId="2794"/>
    <cellStyle name="Normal 12 3 2 5 2" xfId="2795"/>
    <cellStyle name="Normal 12 3 2 6" xfId="2796"/>
    <cellStyle name="Normal 12 3 2 6 2" xfId="2797"/>
    <cellStyle name="Normal 12 3 2 7" xfId="2798"/>
    <cellStyle name="Normal 12 3 3" xfId="2799"/>
    <cellStyle name="Normal 12 3 3 2" xfId="2800"/>
    <cellStyle name="Normal 12 3 3 3" xfId="2801"/>
    <cellStyle name="Normal 12 3 3 3 2" xfId="2802"/>
    <cellStyle name="Normal 12 3 3 4" xfId="2803"/>
    <cellStyle name="Normal 12 3 3 4 2" xfId="2804"/>
    <cellStyle name="Normal 12 3 3 5" xfId="2805"/>
    <cellStyle name="Normal 12 3 4" xfId="2806"/>
    <cellStyle name="Normal 12 3 4 2" xfId="2807"/>
    <cellStyle name="Normal 12 3 4 2 2" xfId="2808"/>
    <cellStyle name="Normal 12 3 4 3" xfId="2809"/>
    <cellStyle name="Normal 12 3 4 3 2" xfId="2810"/>
    <cellStyle name="Normal 12 3 4 4" xfId="2811"/>
    <cellStyle name="Normal 12 3 5" xfId="2812"/>
    <cellStyle name="Normal 12 3 5 2" xfId="2813"/>
    <cellStyle name="Normal 12 3 5 2 2" xfId="2814"/>
    <cellStyle name="Normal 12 3 5 3" xfId="2815"/>
    <cellStyle name="Normal 12 3 5 3 2" xfId="2816"/>
    <cellStyle name="Normal 12 3 5 4" xfId="2817"/>
    <cellStyle name="Normal 12 3 6" xfId="2818"/>
    <cellStyle name="Normal 12 3 6 2" xfId="2819"/>
    <cellStyle name="Normal 12 3 7" xfId="2820"/>
    <cellStyle name="Normal 12 3 7 2" xfId="2821"/>
    <cellStyle name="Normal 12 3 8" xfId="2822"/>
    <cellStyle name="Normal 12 3 8 2" xfId="2823"/>
    <cellStyle name="Normal 12 3 9" xfId="2824"/>
    <cellStyle name="Normal 12 4" xfId="2825"/>
    <cellStyle name="Normal 12 4 2" xfId="2826"/>
    <cellStyle name="Normal 12 4 2 2" xfId="2827"/>
    <cellStyle name="Normal 12 4 2 3" xfId="2828"/>
    <cellStyle name="Normal 12 4 2 3 2" xfId="2829"/>
    <cellStyle name="Normal 12 4 2 4" xfId="2830"/>
    <cellStyle name="Normal 12 4 2 4 2" xfId="2831"/>
    <cellStyle name="Normal 12 4 2 5" xfId="2832"/>
    <cellStyle name="Normal 12 4 3" xfId="2833"/>
    <cellStyle name="Normal 12 4 3 2" xfId="2834"/>
    <cellStyle name="Normal 12 4 3 2 2" xfId="2835"/>
    <cellStyle name="Normal 12 4 3 3" xfId="2836"/>
    <cellStyle name="Normal 12 4 3 3 2" xfId="2837"/>
    <cellStyle name="Normal 12 4 3 4" xfId="2838"/>
    <cellStyle name="Normal 12 4 4" xfId="2839"/>
    <cellStyle name="Normal 12 4 4 2" xfId="2840"/>
    <cellStyle name="Normal 12 4 4 2 2" xfId="2841"/>
    <cellStyle name="Normal 12 4 4 3" xfId="2842"/>
    <cellStyle name="Normal 12 4 4 3 2" xfId="2843"/>
    <cellStyle name="Normal 12 4 4 4" xfId="2844"/>
    <cellStyle name="Normal 12 4 5" xfId="2845"/>
    <cellStyle name="Normal 12 4 5 2" xfId="2846"/>
    <cellStyle name="Normal 12 4 6" xfId="2847"/>
    <cellStyle name="Normal 12 4 6 2" xfId="2848"/>
    <cellStyle name="Normal 12 4 7" xfId="2849"/>
    <cellStyle name="Normal 12 5" xfId="2850"/>
    <cellStyle name="Normal 12 5 2" xfId="2851"/>
    <cellStyle name="Normal 12 5 3" xfId="2852"/>
    <cellStyle name="Normal 12 5 3 2" xfId="2853"/>
    <cellStyle name="Normal 12 5 4" xfId="2854"/>
    <cellStyle name="Normal 12 5 4 2" xfId="2855"/>
    <cellStyle name="Normal 12 5 5" xfId="2856"/>
    <cellStyle name="Normal 12 6" xfId="2857"/>
    <cellStyle name="Normal 12 6 2" xfId="2858"/>
    <cellStyle name="Normal 12 6 3" xfId="2859"/>
    <cellStyle name="Normal 12 6 3 2" xfId="2860"/>
    <cellStyle name="Normal 12 6 4" xfId="2861"/>
    <cellStyle name="Normal 12 6 4 2" xfId="2862"/>
    <cellStyle name="Normal 12 6 5" xfId="2863"/>
    <cellStyle name="Normal 12 7" xfId="2864"/>
    <cellStyle name="Normal 12 8" xfId="2865"/>
    <cellStyle name="Normal 12 9" xfId="2866"/>
    <cellStyle name="Normal 120" xfId="2867"/>
    <cellStyle name="Normal 120 2" xfId="2868"/>
    <cellStyle name="Normal 120 2 2" xfId="2869"/>
    <cellStyle name="Normal 120 3" xfId="2870"/>
    <cellStyle name="Normal 120 3 2" xfId="2871"/>
    <cellStyle name="Normal 121" xfId="2872"/>
    <cellStyle name="Normal 121 2" xfId="2873"/>
    <cellStyle name="Normal 121 2 2" xfId="2874"/>
    <cellStyle name="Normal 121 3" xfId="2875"/>
    <cellStyle name="Normal 121 3 2" xfId="2876"/>
    <cellStyle name="Normal 122" xfId="2877"/>
    <cellStyle name="Normal 122 2" xfId="2878"/>
    <cellStyle name="Normal 122 2 2" xfId="2879"/>
    <cellStyle name="Normal 122 3" xfId="2880"/>
    <cellStyle name="Normal 122 3 2" xfId="2881"/>
    <cellStyle name="Normal 123" xfId="2882"/>
    <cellStyle name="Normal 123 2" xfId="2883"/>
    <cellStyle name="Normal 123 2 2" xfId="2884"/>
    <cellStyle name="Normal 123 3" xfId="2885"/>
    <cellStyle name="Normal 123 3 2" xfId="2886"/>
    <cellStyle name="Normal 124" xfId="2887"/>
    <cellStyle name="Normal 124 2" xfId="2888"/>
    <cellStyle name="Normal 124 2 2" xfId="2889"/>
    <cellStyle name="Normal 124 3" xfId="2890"/>
    <cellStyle name="Normal 124 3 2" xfId="2891"/>
    <cellStyle name="Normal 125" xfId="2892"/>
    <cellStyle name="Normal 125 2" xfId="2893"/>
    <cellStyle name="Normal 125 2 2" xfId="2894"/>
    <cellStyle name="Normal 125 3" xfId="2895"/>
    <cellStyle name="Normal 125 3 2" xfId="2896"/>
    <cellStyle name="Normal 126" xfId="2897"/>
    <cellStyle name="Normal 126 2" xfId="2898"/>
    <cellStyle name="Normal 126 2 2" xfId="2899"/>
    <cellStyle name="Normal 126 3" xfId="2900"/>
    <cellStyle name="Normal 126 3 2" xfId="2901"/>
    <cellStyle name="Normal 127" xfId="2902"/>
    <cellStyle name="Normal 127 2" xfId="2903"/>
    <cellStyle name="Normal 127 2 2" xfId="2904"/>
    <cellStyle name="Normal 127 3" xfId="2905"/>
    <cellStyle name="Normal 127 3 2" xfId="2906"/>
    <cellStyle name="Normal 128" xfId="2907"/>
    <cellStyle name="Normal 128 2" xfId="2908"/>
    <cellStyle name="Normal 128 2 2" xfId="2909"/>
    <cellStyle name="Normal 128 3" xfId="2910"/>
    <cellStyle name="Normal 128 3 2" xfId="2911"/>
    <cellStyle name="Normal 129" xfId="2912"/>
    <cellStyle name="Normal 129 2" xfId="2913"/>
    <cellStyle name="Normal 129 2 2" xfId="2914"/>
    <cellStyle name="Normal 129 3" xfId="2915"/>
    <cellStyle name="Normal 129 3 2" xfId="2916"/>
    <cellStyle name="Normal 13" xfId="2917"/>
    <cellStyle name="Normal 13 10" xfId="2918"/>
    <cellStyle name="Normal 13 11" xfId="2919"/>
    <cellStyle name="Normal 13 12" xfId="2920"/>
    <cellStyle name="Normal 13 13" xfId="2921"/>
    <cellStyle name="Normal 13 14" xfId="2922"/>
    <cellStyle name="Normal 13 15" xfId="2923"/>
    <cellStyle name="Normal 13 16" xfId="2924"/>
    <cellStyle name="Normal 13 17" xfId="2925"/>
    <cellStyle name="Normal 13 18" xfId="2926"/>
    <cellStyle name="Normal 13 18 2" xfId="2927"/>
    <cellStyle name="Normal 13 18 2 2" xfId="2928"/>
    <cellStyle name="Normal 13 18 3" xfId="2929"/>
    <cellStyle name="Normal 13 18 3 2" xfId="2930"/>
    <cellStyle name="Normal 13 18 4" xfId="2931"/>
    <cellStyle name="Normal 13 19" xfId="2932"/>
    <cellStyle name="Normal 13 2" xfId="2933"/>
    <cellStyle name="Normal 13 2 10" xfId="2934"/>
    <cellStyle name="Normal 13 2 2" xfId="2935"/>
    <cellStyle name="Normal 13 2 2 2" xfId="2936"/>
    <cellStyle name="Normal 13 2 2 2 2" xfId="2937"/>
    <cellStyle name="Normal 13 2 2 2 2 2" xfId="2938"/>
    <cellStyle name="Normal 13 2 2 2 3" xfId="2939"/>
    <cellStyle name="Normal 13 2 2 2 3 2" xfId="2940"/>
    <cellStyle name="Normal 13 2 2 2 4" xfId="2941"/>
    <cellStyle name="Normal 13 2 2 3" xfId="2942"/>
    <cellStyle name="Normal 13 2 2 3 2" xfId="2943"/>
    <cellStyle name="Normal 13 2 2 3 2 2" xfId="2944"/>
    <cellStyle name="Normal 13 2 2 3 3" xfId="2945"/>
    <cellStyle name="Normal 13 2 2 3 3 2" xfId="2946"/>
    <cellStyle name="Normal 13 2 2 3 4" xfId="2947"/>
    <cellStyle name="Normal 13 2 2 4" xfId="2948"/>
    <cellStyle name="Normal 13 2 2 4 2" xfId="2949"/>
    <cellStyle name="Normal 13 2 2 4 2 2" xfId="2950"/>
    <cellStyle name="Normal 13 2 2 4 3" xfId="2951"/>
    <cellStyle name="Normal 13 2 2 4 3 2" xfId="2952"/>
    <cellStyle name="Normal 13 2 2 4 4" xfId="2953"/>
    <cellStyle name="Normal 13 2 2 5" xfId="2954"/>
    <cellStyle name="Normal 13 2 2 5 2" xfId="2955"/>
    <cellStyle name="Normal 13 2 2 6" xfId="2956"/>
    <cellStyle name="Normal 13 2 2 6 2" xfId="2957"/>
    <cellStyle name="Normal 13 2 2 7" xfId="2958"/>
    <cellStyle name="Normal 13 2 3" xfId="2959"/>
    <cellStyle name="Normal 13 2 3 2" xfId="2960"/>
    <cellStyle name="Normal 13 2 3 3" xfId="2961"/>
    <cellStyle name="Normal 13 2 3 3 2" xfId="2962"/>
    <cellStyle name="Normal 13 2 3 4" xfId="2963"/>
    <cellStyle name="Normal 13 2 3 4 2" xfId="2964"/>
    <cellStyle name="Normal 13 2 3 5" xfId="2965"/>
    <cellStyle name="Normal 13 2 4" xfId="2966"/>
    <cellStyle name="Normal 13 2 4 2" xfId="2967"/>
    <cellStyle name="Normal 13 2 4 2 2" xfId="2968"/>
    <cellStyle name="Normal 13 2 4 3" xfId="2969"/>
    <cellStyle name="Normal 13 2 4 3 2" xfId="2970"/>
    <cellStyle name="Normal 13 2 4 4" xfId="2971"/>
    <cellStyle name="Normal 13 2 5" xfId="2972"/>
    <cellStyle name="Normal 13 2 5 2" xfId="2973"/>
    <cellStyle name="Normal 13 2 5 2 2" xfId="2974"/>
    <cellStyle name="Normal 13 2 5 3" xfId="2975"/>
    <cellStyle name="Normal 13 2 5 3 2" xfId="2976"/>
    <cellStyle name="Normal 13 2 5 4" xfId="2977"/>
    <cellStyle name="Normal 13 2 6" xfId="2978"/>
    <cellStyle name="Normal 13 2 6 2" xfId="2979"/>
    <cellStyle name="Normal 13 2 7" xfId="2980"/>
    <cellStyle name="Normal 13 2 7 2" xfId="2981"/>
    <cellStyle name="Normal 13 2 8" xfId="2982"/>
    <cellStyle name="Normal 13 2 8 2" xfId="2983"/>
    <cellStyle name="Normal 13 2 9" xfId="2984"/>
    <cellStyle name="Normal 13 20" xfId="2985"/>
    <cellStyle name="Normal 13 20 2" xfId="2986"/>
    <cellStyle name="Normal 13 21" xfId="2987"/>
    <cellStyle name="Normal 13 22" xfId="2988"/>
    <cellStyle name="Normal 13 3" xfId="2989"/>
    <cellStyle name="Normal 13 3 10" xfId="2990"/>
    <cellStyle name="Normal 13 3 2" xfId="2991"/>
    <cellStyle name="Normal 13 3 2 2" xfId="2992"/>
    <cellStyle name="Normal 13 3 2 2 2" xfId="2993"/>
    <cellStyle name="Normal 13 3 2 2 2 2" xfId="2994"/>
    <cellStyle name="Normal 13 3 2 2 3" xfId="2995"/>
    <cellStyle name="Normal 13 3 2 2 3 2" xfId="2996"/>
    <cellStyle name="Normal 13 3 2 2 4" xfId="2997"/>
    <cellStyle name="Normal 13 3 2 3" xfId="2998"/>
    <cellStyle name="Normal 13 3 2 3 2" xfId="2999"/>
    <cellStyle name="Normal 13 3 2 3 2 2" xfId="3000"/>
    <cellStyle name="Normal 13 3 2 3 3" xfId="3001"/>
    <cellStyle name="Normal 13 3 2 3 3 2" xfId="3002"/>
    <cellStyle name="Normal 13 3 2 3 4" xfId="3003"/>
    <cellStyle name="Normal 13 3 2 4" xfId="3004"/>
    <cellStyle name="Normal 13 3 2 4 2" xfId="3005"/>
    <cellStyle name="Normal 13 3 2 4 2 2" xfId="3006"/>
    <cellStyle name="Normal 13 3 2 4 3" xfId="3007"/>
    <cellStyle name="Normal 13 3 2 4 3 2" xfId="3008"/>
    <cellStyle name="Normal 13 3 2 4 4" xfId="3009"/>
    <cellStyle name="Normal 13 3 2 5" xfId="3010"/>
    <cellStyle name="Normal 13 3 2 5 2" xfId="3011"/>
    <cellStyle name="Normal 13 3 2 6" xfId="3012"/>
    <cellStyle name="Normal 13 3 2 6 2" xfId="3013"/>
    <cellStyle name="Normal 13 3 2 7" xfId="3014"/>
    <cellStyle name="Normal 13 3 3" xfId="3015"/>
    <cellStyle name="Normal 13 3 3 2" xfId="3016"/>
    <cellStyle name="Normal 13 3 3 3" xfId="3017"/>
    <cellStyle name="Normal 13 3 3 3 2" xfId="3018"/>
    <cellStyle name="Normal 13 3 3 4" xfId="3019"/>
    <cellStyle name="Normal 13 3 3 4 2" xfId="3020"/>
    <cellStyle name="Normal 13 3 3 5" xfId="3021"/>
    <cellStyle name="Normal 13 3 4" xfId="3022"/>
    <cellStyle name="Normal 13 3 4 2" xfId="3023"/>
    <cellStyle name="Normal 13 3 4 2 2" xfId="3024"/>
    <cellStyle name="Normal 13 3 4 3" xfId="3025"/>
    <cellStyle name="Normal 13 3 4 3 2" xfId="3026"/>
    <cellStyle name="Normal 13 3 4 4" xfId="3027"/>
    <cellStyle name="Normal 13 3 5" xfId="3028"/>
    <cellStyle name="Normal 13 3 5 2" xfId="3029"/>
    <cellStyle name="Normal 13 3 5 2 2" xfId="3030"/>
    <cellStyle name="Normal 13 3 5 3" xfId="3031"/>
    <cellStyle name="Normal 13 3 5 3 2" xfId="3032"/>
    <cellStyle name="Normal 13 3 5 4" xfId="3033"/>
    <cellStyle name="Normal 13 3 6" xfId="3034"/>
    <cellStyle name="Normal 13 3 6 2" xfId="3035"/>
    <cellStyle name="Normal 13 3 7" xfId="3036"/>
    <cellStyle name="Normal 13 3 7 2" xfId="3037"/>
    <cellStyle name="Normal 13 3 8" xfId="3038"/>
    <cellStyle name="Normal 13 3 8 2" xfId="3039"/>
    <cellStyle name="Normal 13 3 9" xfId="3040"/>
    <cellStyle name="Normal 13 4" xfId="3041"/>
    <cellStyle name="Normal 13 4 2" xfId="3042"/>
    <cellStyle name="Normal 13 4 2 2" xfId="3043"/>
    <cellStyle name="Normal 13 4 2 3" xfId="3044"/>
    <cellStyle name="Normal 13 4 2 3 2" xfId="3045"/>
    <cellStyle name="Normal 13 4 2 4" xfId="3046"/>
    <cellStyle name="Normal 13 4 2 4 2" xfId="3047"/>
    <cellStyle name="Normal 13 4 2 5" xfId="3048"/>
    <cellStyle name="Normal 13 4 3" xfId="3049"/>
    <cellStyle name="Normal 13 4 3 2" xfId="3050"/>
    <cellStyle name="Normal 13 4 3 2 2" xfId="3051"/>
    <cellStyle name="Normal 13 4 3 3" xfId="3052"/>
    <cellStyle name="Normal 13 4 3 3 2" xfId="3053"/>
    <cellStyle name="Normal 13 4 3 4" xfId="3054"/>
    <cellStyle name="Normal 13 4 4" xfId="3055"/>
    <cellStyle name="Normal 13 4 4 2" xfId="3056"/>
    <cellStyle name="Normal 13 4 4 2 2" xfId="3057"/>
    <cellStyle name="Normal 13 4 4 3" xfId="3058"/>
    <cellStyle name="Normal 13 4 4 3 2" xfId="3059"/>
    <cellStyle name="Normal 13 4 4 4" xfId="3060"/>
    <cellStyle name="Normal 13 4 5" xfId="3061"/>
    <cellStyle name="Normal 13 4 5 2" xfId="3062"/>
    <cellStyle name="Normal 13 4 6" xfId="3063"/>
    <cellStyle name="Normal 13 4 6 2" xfId="3064"/>
    <cellStyle name="Normal 13 4 7" xfId="3065"/>
    <cellStyle name="Normal 13 5" xfId="3066"/>
    <cellStyle name="Normal 13 5 2" xfId="3067"/>
    <cellStyle name="Normal 13 5 3" xfId="3068"/>
    <cellStyle name="Normal 13 5 3 2" xfId="3069"/>
    <cellStyle name="Normal 13 5 4" xfId="3070"/>
    <cellStyle name="Normal 13 5 4 2" xfId="3071"/>
    <cellStyle name="Normal 13 5 5" xfId="3072"/>
    <cellStyle name="Normal 13 6" xfId="3073"/>
    <cellStyle name="Normal 13 6 2" xfId="3074"/>
    <cellStyle name="Normal 13 6 3" xfId="3075"/>
    <cellStyle name="Normal 13 6 3 2" xfId="3076"/>
    <cellStyle name="Normal 13 6 4" xfId="3077"/>
    <cellStyle name="Normal 13 6 4 2" xfId="3078"/>
    <cellStyle name="Normal 13 6 5" xfId="3079"/>
    <cellStyle name="Normal 13 7" xfId="3080"/>
    <cellStyle name="Normal 13 8" xfId="3081"/>
    <cellStyle name="Normal 13 9" xfId="3082"/>
    <cellStyle name="Normal 130" xfId="3083"/>
    <cellStyle name="Normal 130 2" xfId="3084"/>
    <cellStyle name="Normal 130 2 2" xfId="3085"/>
    <cellStyle name="Normal 130 3" xfId="3086"/>
    <cellStyle name="Normal 130 3 2" xfId="3087"/>
    <cellStyle name="Normal 131" xfId="3088"/>
    <cellStyle name="Normal 131 2" xfId="3089"/>
    <cellStyle name="Normal 131 2 2" xfId="3090"/>
    <cellStyle name="Normal 131 3" xfId="3091"/>
    <cellStyle name="Normal 131 3 2" xfId="3092"/>
    <cellStyle name="Normal 132" xfId="3093"/>
    <cellStyle name="Normal 132 2" xfId="3094"/>
    <cellStyle name="Normal 132 2 2" xfId="3095"/>
    <cellStyle name="Normal 132 3" xfId="3096"/>
    <cellStyle name="Normal 132 3 2" xfId="3097"/>
    <cellStyle name="Normal 133" xfId="3098"/>
    <cellStyle name="Normal 133 2" xfId="3099"/>
    <cellStyle name="Normal 133 2 2" xfId="3100"/>
    <cellStyle name="Normal 133 3" xfId="3101"/>
    <cellStyle name="Normal 133 3 2" xfId="3102"/>
    <cellStyle name="Normal 134" xfId="3103"/>
    <cellStyle name="Normal 134 2" xfId="3104"/>
    <cellStyle name="Normal 134 2 2" xfId="3105"/>
    <cellStyle name="Normal 134 3" xfId="3106"/>
    <cellStyle name="Normal 134 3 2" xfId="3107"/>
    <cellStyle name="Normal 135" xfId="3108"/>
    <cellStyle name="Normal 135 2" xfId="3109"/>
    <cellStyle name="Normal 135 2 2" xfId="3110"/>
    <cellStyle name="Normal 135 3" xfId="3111"/>
    <cellStyle name="Normal 135 3 2" xfId="3112"/>
    <cellStyle name="Normal 136" xfId="3113"/>
    <cellStyle name="Normal 136 2" xfId="3114"/>
    <cellStyle name="Normal 136 2 2" xfId="3115"/>
    <cellStyle name="Normal 136 3" xfId="3116"/>
    <cellStyle name="Normal 136 3 2" xfId="3117"/>
    <cellStyle name="Normal 137" xfId="3118"/>
    <cellStyle name="Normal 137 2" xfId="3119"/>
    <cellStyle name="Normal 137 2 2" xfId="3120"/>
    <cellStyle name="Normal 137 3" xfId="3121"/>
    <cellStyle name="Normal 137 3 2" xfId="3122"/>
    <cellStyle name="Normal 138" xfId="3123"/>
    <cellStyle name="Normal 139" xfId="3124"/>
    <cellStyle name="Normal 14" xfId="3125"/>
    <cellStyle name="Normal 14 10" xfId="3126"/>
    <cellStyle name="Normal 14 11" xfId="3127"/>
    <cellStyle name="Normal 14 12" xfId="3128"/>
    <cellStyle name="Normal 14 13" xfId="3129"/>
    <cellStyle name="Normal 14 14" xfId="3130"/>
    <cellStyle name="Normal 14 15" xfId="3131"/>
    <cellStyle name="Normal 14 16" xfId="3132"/>
    <cellStyle name="Normal 14 17" xfId="3133"/>
    <cellStyle name="Normal 14 18" xfId="3134"/>
    <cellStyle name="Normal 14 18 2" xfId="3135"/>
    <cellStyle name="Normal 14 18 2 2" xfId="3136"/>
    <cellStyle name="Normal 14 18 3" xfId="3137"/>
    <cellStyle name="Normal 14 18 3 2" xfId="3138"/>
    <cellStyle name="Normal 14 18 4" xfId="3139"/>
    <cellStyle name="Normal 14 19" xfId="3140"/>
    <cellStyle name="Normal 14 2" xfId="3141"/>
    <cellStyle name="Normal 14 2 10" xfId="3142"/>
    <cellStyle name="Normal 14 2 2" xfId="3143"/>
    <cellStyle name="Normal 14 2 2 2" xfId="3144"/>
    <cellStyle name="Normal 14 2 2 2 2" xfId="3145"/>
    <cellStyle name="Normal 14 2 2 2 2 2" xfId="3146"/>
    <cellStyle name="Normal 14 2 2 2 3" xfId="3147"/>
    <cellStyle name="Normal 14 2 2 2 3 2" xfId="3148"/>
    <cellStyle name="Normal 14 2 2 2 4" xfId="3149"/>
    <cellStyle name="Normal 14 2 2 3" xfId="3150"/>
    <cellStyle name="Normal 14 2 2 3 2" xfId="3151"/>
    <cellStyle name="Normal 14 2 2 3 2 2" xfId="3152"/>
    <cellStyle name="Normal 14 2 2 3 3" xfId="3153"/>
    <cellStyle name="Normal 14 2 2 3 3 2" xfId="3154"/>
    <cellStyle name="Normal 14 2 2 3 4" xfId="3155"/>
    <cellStyle name="Normal 14 2 2 4" xfId="3156"/>
    <cellStyle name="Normal 14 2 2 4 2" xfId="3157"/>
    <cellStyle name="Normal 14 2 2 4 2 2" xfId="3158"/>
    <cellStyle name="Normal 14 2 2 4 3" xfId="3159"/>
    <cellStyle name="Normal 14 2 2 4 3 2" xfId="3160"/>
    <cellStyle name="Normal 14 2 2 4 4" xfId="3161"/>
    <cellStyle name="Normal 14 2 2 5" xfId="3162"/>
    <cellStyle name="Normal 14 2 2 5 2" xfId="3163"/>
    <cellStyle name="Normal 14 2 2 6" xfId="3164"/>
    <cellStyle name="Normal 14 2 2 6 2" xfId="3165"/>
    <cellStyle name="Normal 14 2 2 7" xfId="3166"/>
    <cellStyle name="Normal 14 2 3" xfId="3167"/>
    <cellStyle name="Normal 14 2 3 2" xfId="3168"/>
    <cellStyle name="Normal 14 2 3 3" xfId="3169"/>
    <cellStyle name="Normal 14 2 3 3 2" xfId="3170"/>
    <cellStyle name="Normal 14 2 3 4" xfId="3171"/>
    <cellStyle name="Normal 14 2 3 4 2" xfId="3172"/>
    <cellStyle name="Normal 14 2 3 5" xfId="3173"/>
    <cellStyle name="Normal 14 2 4" xfId="3174"/>
    <cellStyle name="Normal 14 2 4 2" xfId="3175"/>
    <cellStyle name="Normal 14 2 4 2 2" xfId="3176"/>
    <cellStyle name="Normal 14 2 4 3" xfId="3177"/>
    <cellStyle name="Normal 14 2 4 3 2" xfId="3178"/>
    <cellStyle name="Normal 14 2 4 4" xfId="3179"/>
    <cellStyle name="Normal 14 2 5" xfId="3180"/>
    <cellStyle name="Normal 14 2 5 2" xfId="3181"/>
    <cellStyle name="Normal 14 2 5 2 2" xfId="3182"/>
    <cellStyle name="Normal 14 2 5 3" xfId="3183"/>
    <cellStyle name="Normal 14 2 5 3 2" xfId="3184"/>
    <cellStyle name="Normal 14 2 5 4" xfId="3185"/>
    <cellStyle name="Normal 14 2 6" xfId="3186"/>
    <cellStyle name="Normal 14 2 6 2" xfId="3187"/>
    <cellStyle name="Normal 14 2 7" xfId="3188"/>
    <cellStyle name="Normal 14 2 7 2" xfId="3189"/>
    <cellStyle name="Normal 14 2 8" xfId="3190"/>
    <cellStyle name="Normal 14 2 8 2" xfId="3191"/>
    <cellStyle name="Normal 14 2 9" xfId="3192"/>
    <cellStyle name="Normal 14 20" xfId="3193"/>
    <cellStyle name="Normal 14 20 2" xfId="3194"/>
    <cellStyle name="Normal 14 21" xfId="3195"/>
    <cellStyle name="Normal 14 22" xfId="3196"/>
    <cellStyle name="Normal 14 3" xfId="3197"/>
    <cellStyle name="Normal 14 3 10" xfId="3198"/>
    <cellStyle name="Normal 14 3 2" xfId="3199"/>
    <cellStyle name="Normal 14 3 2 2" xfId="3200"/>
    <cellStyle name="Normal 14 3 2 2 2" xfId="3201"/>
    <cellStyle name="Normal 14 3 2 2 2 2" xfId="3202"/>
    <cellStyle name="Normal 14 3 2 2 3" xfId="3203"/>
    <cellStyle name="Normal 14 3 2 2 3 2" xfId="3204"/>
    <cellStyle name="Normal 14 3 2 2 4" xfId="3205"/>
    <cellStyle name="Normal 14 3 2 3" xfId="3206"/>
    <cellStyle name="Normal 14 3 2 3 2" xfId="3207"/>
    <cellStyle name="Normal 14 3 2 3 2 2" xfId="3208"/>
    <cellStyle name="Normal 14 3 2 3 3" xfId="3209"/>
    <cellStyle name="Normal 14 3 2 3 3 2" xfId="3210"/>
    <cellStyle name="Normal 14 3 2 3 4" xfId="3211"/>
    <cellStyle name="Normal 14 3 2 4" xfId="3212"/>
    <cellStyle name="Normal 14 3 2 4 2" xfId="3213"/>
    <cellStyle name="Normal 14 3 2 4 2 2" xfId="3214"/>
    <cellStyle name="Normal 14 3 2 4 3" xfId="3215"/>
    <cellStyle name="Normal 14 3 2 4 3 2" xfId="3216"/>
    <cellStyle name="Normal 14 3 2 4 4" xfId="3217"/>
    <cellStyle name="Normal 14 3 2 5" xfId="3218"/>
    <cellStyle name="Normal 14 3 2 5 2" xfId="3219"/>
    <cellStyle name="Normal 14 3 2 6" xfId="3220"/>
    <cellStyle name="Normal 14 3 2 6 2" xfId="3221"/>
    <cellStyle name="Normal 14 3 2 7" xfId="3222"/>
    <cellStyle name="Normal 14 3 3" xfId="3223"/>
    <cellStyle name="Normal 14 3 3 2" xfId="3224"/>
    <cellStyle name="Normal 14 3 3 3" xfId="3225"/>
    <cellStyle name="Normal 14 3 3 3 2" xfId="3226"/>
    <cellStyle name="Normal 14 3 3 4" xfId="3227"/>
    <cellStyle name="Normal 14 3 3 4 2" xfId="3228"/>
    <cellStyle name="Normal 14 3 3 5" xfId="3229"/>
    <cellStyle name="Normal 14 3 4" xfId="3230"/>
    <cellStyle name="Normal 14 3 4 2" xfId="3231"/>
    <cellStyle name="Normal 14 3 4 2 2" xfId="3232"/>
    <cellStyle name="Normal 14 3 4 3" xfId="3233"/>
    <cellStyle name="Normal 14 3 4 3 2" xfId="3234"/>
    <cellStyle name="Normal 14 3 4 4" xfId="3235"/>
    <cellStyle name="Normal 14 3 5" xfId="3236"/>
    <cellStyle name="Normal 14 3 5 2" xfId="3237"/>
    <cellStyle name="Normal 14 3 5 2 2" xfId="3238"/>
    <cellStyle name="Normal 14 3 5 3" xfId="3239"/>
    <cellStyle name="Normal 14 3 5 3 2" xfId="3240"/>
    <cellStyle name="Normal 14 3 5 4" xfId="3241"/>
    <cellStyle name="Normal 14 3 6" xfId="3242"/>
    <cellStyle name="Normal 14 3 6 2" xfId="3243"/>
    <cellStyle name="Normal 14 3 7" xfId="3244"/>
    <cellStyle name="Normal 14 3 7 2" xfId="3245"/>
    <cellStyle name="Normal 14 3 8" xfId="3246"/>
    <cellStyle name="Normal 14 3 8 2" xfId="3247"/>
    <cellStyle name="Normal 14 3 9" xfId="3248"/>
    <cellStyle name="Normal 14 4" xfId="3249"/>
    <cellStyle name="Normal 14 4 2" xfId="3250"/>
    <cellStyle name="Normal 14 4 2 2" xfId="3251"/>
    <cellStyle name="Normal 14 4 2 3" xfId="3252"/>
    <cellStyle name="Normal 14 4 2 3 2" xfId="3253"/>
    <cellStyle name="Normal 14 4 2 4" xfId="3254"/>
    <cellStyle name="Normal 14 4 2 4 2" xfId="3255"/>
    <cellStyle name="Normal 14 4 2 5" xfId="3256"/>
    <cellStyle name="Normal 14 4 3" xfId="3257"/>
    <cellStyle name="Normal 14 4 3 2" xfId="3258"/>
    <cellStyle name="Normal 14 4 3 2 2" xfId="3259"/>
    <cellStyle name="Normal 14 4 3 3" xfId="3260"/>
    <cellStyle name="Normal 14 4 3 3 2" xfId="3261"/>
    <cellStyle name="Normal 14 4 3 4" xfId="3262"/>
    <cellStyle name="Normal 14 4 4" xfId="3263"/>
    <cellStyle name="Normal 14 4 4 2" xfId="3264"/>
    <cellStyle name="Normal 14 4 4 2 2" xfId="3265"/>
    <cellStyle name="Normal 14 4 4 3" xfId="3266"/>
    <cellStyle name="Normal 14 4 4 3 2" xfId="3267"/>
    <cellStyle name="Normal 14 4 4 4" xfId="3268"/>
    <cellStyle name="Normal 14 4 5" xfId="3269"/>
    <cellStyle name="Normal 14 4 5 2" xfId="3270"/>
    <cellStyle name="Normal 14 4 6" xfId="3271"/>
    <cellStyle name="Normal 14 4 6 2" xfId="3272"/>
    <cellStyle name="Normal 14 4 7" xfId="3273"/>
    <cellStyle name="Normal 14 5" xfId="3274"/>
    <cellStyle name="Normal 14 5 2" xfId="3275"/>
    <cellStyle name="Normal 14 5 3" xfId="3276"/>
    <cellStyle name="Normal 14 5 3 2" xfId="3277"/>
    <cellStyle name="Normal 14 5 4" xfId="3278"/>
    <cellStyle name="Normal 14 5 4 2" xfId="3279"/>
    <cellStyle name="Normal 14 5 5" xfId="3280"/>
    <cellStyle name="Normal 14 6" xfId="3281"/>
    <cellStyle name="Normal 14 6 2" xfId="3282"/>
    <cellStyle name="Normal 14 6 3" xfId="3283"/>
    <cellStyle name="Normal 14 6 3 2" xfId="3284"/>
    <cellStyle name="Normal 14 6 4" xfId="3285"/>
    <cellStyle name="Normal 14 6 4 2" xfId="3286"/>
    <cellStyle name="Normal 14 6 5" xfId="3287"/>
    <cellStyle name="Normal 14 7" xfId="3288"/>
    <cellStyle name="Normal 14 8" xfId="3289"/>
    <cellStyle name="Normal 14 9" xfId="3290"/>
    <cellStyle name="Normal 140" xfId="3291"/>
    <cellStyle name="Normal 141" xfId="3292"/>
    <cellStyle name="Normal 142" xfId="3293"/>
    <cellStyle name="Normal 143" xfId="3294"/>
    <cellStyle name="Normal 144" xfId="3295"/>
    <cellStyle name="Normal 145" xfId="3296"/>
    <cellStyle name="Normal 146" xfId="3297"/>
    <cellStyle name="Normal 147" xfId="3298"/>
    <cellStyle name="Normal 148" xfId="3299"/>
    <cellStyle name="Normal 149" xfId="3300"/>
    <cellStyle name="Normal 15" xfId="3301"/>
    <cellStyle name="Normal 15 10" xfId="3302"/>
    <cellStyle name="Normal 15 11" xfId="3303"/>
    <cellStyle name="Normal 15 12" xfId="3304"/>
    <cellStyle name="Normal 15 13" xfId="3305"/>
    <cellStyle name="Normal 15 14" xfId="3306"/>
    <cellStyle name="Normal 15 15" xfId="3307"/>
    <cellStyle name="Normal 15 16" xfId="3308"/>
    <cellStyle name="Normal 15 17" xfId="3309"/>
    <cellStyle name="Normal 15 18" xfId="3310"/>
    <cellStyle name="Normal 15 18 2" xfId="3311"/>
    <cellStyle name="Normal 15 18 2 2" xfId="3312"/>
    <cellStyle name="Normal 15 18 3" xfId="3313"/>
    <cellStyle name="Normal 15 18 3 2" xfId="3314"/>
    <cellStyle name="Normal 15 18 4" xfId="3315"/>
    <cellStyle name="Normal 15 19" xfId="3316"/>
    <cellStyle name="Normal 15 2" xfId="3317"/>
    <cellStyle name="Normal 15 2 10" xfId="3318"/>
    <cellStyle name="Normal 15 2 2" xfId="3319"/>
    <cellStyle name="Normal 15 2 2 2" xfId="3320"/>
    <cellStyle name="Normal 15 2 2 2 2" xfId="3321"/>
    <cellStyle name="Normal 15 2 2 2 2 2" xfId="3322"/>
    <cellStyle name="Normal 15 2 2 2 3" xfId="3323"/>
    <cellStyle name="Normal 15 2 2 2 3 2" xfId="3324"/>
    <cellStyle name="Normal 15 2 2 2 4" xfId="3325"/>
    <cellStyle name="Normal 15 2 2 3" xfId="3326"/>
    <cellStyle name="Normal 15 2 2 3 2" xfId="3327"/>
    <cellStyle name="Normal 15 2 2 3 2 2" xfId="3328"/>
    <cellStyle name="Normal 15 2 2 3 3" xfId="3329"/>
    <cellStyle name="Normal 15 2 2 3 3 2" xfId="3330"/>
    <cellStyle name="Normal 15 2 2 3 4" xfId="3331"/>
    <cellStyle name="Normal 15 2 2 4" xfId="3332"/>
    <cellStyle name="Normal 15 2 2 4 2" xfId="3333"/>
    <cellStyle name="Normal 15 2 2 4 2 2" xfId="3334"/>
    <cellStyle name="Normal 15 2 2 4 3" xfId="3335"/>
    <cellStyle name="Normal 15 2 2 4 3 2" xfId="3336"/>
    <cellStyle name="Normal 15 2 2 4 4" xfId="3337"/>
    <cellStyle name="Normal 15 2 2 5" xfId="3338"/>
    <cellStyle name="Normal 15 2 2 5 2" xfId="3339"/>
    <cellStyle name="Normal 15 2 2 6" xfId="3340"/>
    <cellStyle name="Normal 15 2 2 6 2" xfId="3341"/>
    <cellStyle name="Normal 15 2 2 7" xfId="3342"/>
    <cellStyle name="Normal 15 2 3" xfId="3343"/>
    <cellStyle name="Normal 15 2 3 2" xfId="3344"/>
    <cellStyle name="Normal 15 2 3 3" xfId="3345"/>
    <cellStyle name="Normal 15 2 3 3 2" xfId="3346"/>
    <cellStyle name="Normal 15 2 3 4" xfId="3347"/>
    <cellStyle name="Normal 15 2 3 4 2" xfId="3348"/>
    <cellStyle name="Normal 15 2 3 5" xfId="3349"/>
    <cellStyle name="Normal 15 2 4" xfId="3350"/>
    <cellStyle name="Normal 15 2 4 2" xfId="3351"/>
    <cellStyle name="Normal 15 2 4 2 2" xfId="3352"/>
    <cellStyle name="Normal 15 2 4 3" xfId="3353"/>
    <cellStyle name="Normal 15 2 4 3 2" xfId="3354"/>
    <cellStyle name="Normal 15 2 4 4" xfId="3355"/>
    <cellStyle name="Normal 15 2 5" xfId="3356"/>
    <cellStyle name="Normal 15 2 5 2" xfId="3357"/>
    <cellStyle name="Normal 15 2 5 2 2" xfId="3358"/>
    <cellStyle name="Normal 15 2 5 3" xfId="3359"/>
    <cellStyle name="Normal 15 2 5 3 2" xfId="3360"/>
    <cellStyle name="Normal 15 2 5 4" xfId="3361"/>
    <cellStyle name="Normal 15 2 6" xfId="3362"/>
    <cellStyle name="Normal 15 2 6 2" xfId="3363"/>
    <cellStyle name="Normal 15 2 7" xfId="3364"/>
    <cellStyle name="Normal 15 2 7 2" xfId="3365"/>
    <cellStyle name="Normal 15 2 8" xfId="3366"/>
    <cellStyle name="Normal 15 2 8 2" xfId="3367"/>
    <cellStyle name="Normal 15 2 9" xfId="3368"/>
    <cellStyle name="Normal 15 20" xfId="3369"/>
    <cellStyle name="Normal 15 20 2" xfId="3370"/>
    <cellStyle name="Normal 15 21" xfId="3371"/>
    <cellStyle name="Normal 15 22" xfId="3372"/>
    <cellStyle name="Normal 15 3" xfId="3373"/>
    <cellStyle name="Normal 15 3 10" xfId="3374"/>
    <cellStyle name="Normal 15 3 2" xfId="3375"/>
    <cellStyle name="Normal 15 3 2 2" xfId="3376"/>
    <cellStyle name="Normal 15 3 2 2 2" xfId="3377"/>
    <cellStyle name="Normal 15 3 2 2 2 2" xfId="3378"/>
    <cellStyle name="Normal 15 3 2 2 3" xfId="3379"/>
    <cellStyle name="Normal 15 3 2 2 3 2" xfId="3380"/>
    <cellStyle name="Normal 15 3 2 2 4" xfId="3381"/>
    <cellStyle name="Normal 15 3 2 3" xfId="3382"/>
    <cellStyle name="Normal 15 3 2 3 2" xfId="3383"/>
    <cellStyle name="Normal 15 3 2 3 2 2" xfId="3384"/>
    <cellStyle name="Normal 15 3 2 3 3" xfId="3385"/>
    <cellStyle name="Normal 15 3 2 3 3 2" xfId="3386"/>
    <cellStyle name="Normal 15 3 2 3 4" xfId="3387"/>
    <cellStyle name="Normal 15 3 2 4" xfId="3388"/>
    <cellStyle name="Normal 15 3 2 4 2" xfId="3389"/>
    <cellStyle name="Normal 15 3 2 4 2 2" xfId="3390"/>
    <cellStyle name="Normal 15 3 2 4 3" xfId="3391"/>
    <cellStyle name="Normal 15 3 2 4 3 2" xfId="3392"/>
    <cellStyle name="Normal 15 3 2 4 4" xfId="3393"/>
    <cellStyle name="Normal 15 3 2 5" xfId="3394"/>
    <cellStyle name="Normal 15 3 2 5 2" xfId="3395"/>
    <cellStyle name="Normal 15 3 2 6" xfId="3396"/>
    <cellStyle name="Normal 15 3 2 6 2" xfId="3397"/>
    <cellStyle name="Normal 15 3 2 7" xfId="3398"/>
    <cellStyle name="Normal 15 3 3" xfId="3399"/>
    <cellStyle name="Normal 15 3 3 2" xfId="3400"/>
    <cellStyle name="Normal 15 3 3 3" xfId="3401"/>
    <cellStyle name="Normal 15 3 3 3 2" xfId="3402"/>
    <cellStyle name="Normal 15 3 3 4" xfId="3403"/>
    <cellStyle name="Normal 15 3 3 4 2" xfId="3404"/>
    <cellStyle name="Normal 15 3 3 5" xfId="3405"/>
    <cellStyle name="Normal 15 3 4" xfId="3406"/>
    <cellStyle name="Normal 15 3 4 2" xfId="3407"/>
    <cellStyle name="Normal 15 3 4 2 2" xfId="3408"/>
    <cellStyle name="Normal 15 3 4 3" xfId="3409"/>
    <cellStyle name="Normal 15 3 4 3 2" xfId="3410"/>
    <cellStyle name="Normal 15 3 4 4" xfId="3411"/>
    <cellStyle name="Normal 15 3 5" xfId="3412"/>
    <cellStyle name="Normal 15 3 5 2" xfId="3413"/>
    <cellStyle name="Normal 15 3 5 2 2" xfId="3414"/>
    <cellStyle name="Normal 15 3 5 3" xfId="3415"/>
    <cellStyle name="Normal 15 3 5 3 2" xfId="3416"/>
    <cellStyle name="Normal 15 3 5 4" xfId="3417"/>
    <cellStyle name="Normal 15 3 6" xfId="3418"/>
    <cellStyle name="Normal 15 3 6 2" xfId="3419"/>
    <cellStyle name="Normal 15 3 7" xfId="3420"/>
    <cellStyle name="Normal 15 3 7 2" xfId="3421"/>
    <cellStyle name="Normal 15 3 8" xfId="3422"/>
    <cellStyle name="Normal 15 3 8 2" xfId="3423"/>
    <cellStyle name="Normal 15 3 9" xfId="3424"/>
    <cellStyle name="Normal 15 4" xfId="3425"/>
    <cellStyle name="Normal 15 4 2" xfId="3426"/>
    <cellStyle name="Normal 15 4 2 2" xfId="3427"/>
    <cellStyle name="Normal 15 4 2 3" xfId="3428"/>
    <cellStyle name="Normal 15 4 2 3 2" xfId="3429"/>
    <cellStyle name="Normal 15 4 2 4" xfId="3430"/>
    <cellStyle name="Normal 15 4 2 4 2" xfId="3431"/>
    <cellStyle name="Normal 15 4 2 5" xfId="3432"/>
    <cellStyle name="Normal 15 4 3" xfId="3433"/>
    <cellStyle name="Normal 15 4 3 2" xfId="3434"/>
    <cellStyle name="Normal 15 4 3 2 2" xfId="3435"/>
    <cellStyle name="Normal 15 4 3 3" xfId="3436"/>
    <cellStyle name="Normal 15 4 3 3 2" xfId="3437"/>
    <cellStyle name="Normal 15 4 3 4" xfId="3438"/>
    <cellStyle name="Normal 15 4 4" xfId="3439"/>
    <cellStyle name="Normal 15 4 4 2" xfId="3440"/>
    <cellStyle name="Normal 15 4 4 2 2" xfId="3441"/>
    <cellStyle name="Normal 15 4 4 3" xfId="3442"/>
    <cellStyle name="Normal 15 4 4 3 2" xfId="3443"/>
    <cellStyle name="Normal 15 4 4 4" xfId="3444"/>
    <cellStyle name="Normal 15 4 5" xfId="3445"/>
    <cellStyle name="Normal 15 4 5 2" xfId="3446"/>
    <cellStyle name="Normal 15 4 6" xfId="3447"/>
    <cellStyle name="Normal 15 4 6 2" xfId="3448"/>
    <cellStyle name="Normal 15 4 7" xfId="3449"/>
    <cellStyle name="Normal 15 5" xfId="3450"/>
    <cellStyle name="Normal 15 5 2" xfId="3451"/>
    <cellStyle name="Normal 15 5 3" xfId="3452"/>
    <cellStyle name="Normal 15 5 3 2" xfId="3453"/>
    <cellStyle name="Normal 15 5 4" xfId="3454"/>
    <cellStyle name="Normal 15 5 4 2" xfId="3455"/>
    <cellStyle name="Normal 15 5 5" xfId="3456"/>
    <cellStyle name="Normal 15 6" xfId="3457"/>
    <cellStyle name="Normal 15 6 2" xfId="3458"/>
    <cellStyle name="Normal 15 6 3" xfId="3459"/>
    <cellStyle name="Normal 15 6 3 2" xfId="3460"/>
    <cellStyle name="Normal 15 6 4" xfId="3461"/>
    <cellStyle name="Normal 15 6 4 2" xfId="3462"/>
    <cellStyle name="Normal 15 6 5" xfId="3463"/>
    <cellStyle name="Normal 15 7" xfId="3464"/>
    <cellStyle name="Normal 15 8" xfId="3465"/>
    <cellStyle name="Normal 15 9" xfId="3466"/>
    <cellStyle name="Normal 150" xfId="3467"/>
    <cellStyle name="Normal 151" xfId="3468"/>
    <cellStyle name="Normal 152" xfId="3469"/>
    <cellStyle name="Normal 153" xfId="3470"/>
    <cellStyle name="Normal 154" xfId="3471"/>
    <cellStyle name="Normal 155" xfId="3472"/>
    <cellStyle name="Normal 156" xfId="3473"/>
    <cellStyle name="Normal 157" xfId="3474"/>
    <cellStyle name="Normal 158" xfId="3475"/>
    <cellStyle name="Normal 159" xfId="3476"/>
    <cellStyle name="Normal 16" xfId="3477"/>
    <cellStyle name="Normal 16 10" xfId="3478"/>
    <cellStyle name="Normal 16 10 2" xfId="3479"/>
    <cellStyle name="Normal 16 10 3" xfId="3480"/>
    <cellStyle name="Normal 16 11" xfId="3481"/>
    <cellStyle name="Normal 16 11 2" xfId="3482"/>
    <cellStyle name="Normal 16 11 3" xfId="3483"/>
    <cellStyle name="Normal 16 12" xfId="3484"/>
    <cellStyle name="Normal 16 12 2" xfId="3485"/>
    <cellStyle name="Normal 16 12 3" xfId="3486"/>
    <cellStyle name="Normal 16 13" xfId="3487"/>
    <cellStyle name="Normal 16 13 2" xfId="3488"/>
    <cellStyle name="Normal 16 13 3" xfId="3489"/>
    <cellStyle name="Normal 16 14" xfId="3490"/>
    <cellStyle name="Normal 16 14 2" xfId="3491"/>
    <cellStyle name="Normal 16 14 3" xfId="3492"/>
    <cellStyle name="Normal 16 15" xfId="3493"/>
    <cellStyle name="Normal 16 15 2" xfId="3494"/>
    <cellStyle name="Normal 16 15 3" xfId="3495"/>
    <cellStyle name="Normal 16 16" xfId="3496"/>
    <cellStyle name="Normal 16 16 2" xfId="3497"/>
    <cellStyle name="Normal 16 16 3" xfId="3498"/>
    <cellStyle name="Normal 16 17" xfId="3499"/>
    <cellStyle name="Normal 16 18" xfId="3500"/>
    <cellStyle name="Normal 16 19" xfId="3501"/>
    <cellStyle name="Normal 16 2" xfId="3502"/>
    <cellStyle name="Normal 16 2 2" xfId="3503"/>
    <cellStyle name="Normal 16 2 3" xfId="3504"/>
    <cellStyle name="Normal 16 20" xfId="3505"/>
    <cellStyle name="Normal 16 21" xfId="3506"/>
    <cellStyle name="Normal 16 22" xfId="3507"/>
    <cellStyle name="Normal 16 23" xfId="3508"/>
    <cellStyle name="Normal 16 24" xfId="3509"/>
    <cellStyle name="Normal 16 25" xfId="3510"/>
    <cellStyle name="Normal 16 26" xfId="3511"/>
    <cellStyle name="Normal 16 27" xfId="3512"/>
    <cellStyle name="Normal 16 28" xfId="3513"/>
    <cellStyle name="Normal 16 29" xfId="3514"/>
    <cellStyle name="Normal 16 3" xfId="3515"/>
    <cellStyle name="Normal 16 3 2" xfId="3516"/>
    <cellStyle name="Normal 16 3 3" xfId="3517"/>
    <cellStyle name="Normal 16 30" xfId="3518"/>
    <cellStyle name="Normal 16 31" xfId="3519"/>
    <cellStyle name="Normal 16 32" xfId="3520"/>
    <cellStyle name="Normal 16 33" xfId="3521"/>
    <cellStyle name="Normal 16 34" xfId="3522"/>
    <cellStyle name="Normal 16 4" xfId="3523"/>
    <cellStyle name="Normal 16 4 2" xfId="3524"/>
    <cellStyle name="Normal 16 4 3" xfId="3525"/>
    <cellStyle name="Normal 16 5" xfId="3526"/>
    <cellStyle name="Normal 16 5 2" xfId="3527"/>
    <cellStyle name="Normal 16 5 3" xfId="3528"/>
    <cellStyle name="Normal 16 6" xfId="3529"/>
    <cellStyle name="Normal 16 6 2" xfId="3530"/>
    <cellStyle name="Normal 16 6 3" xfId="3531"/>
    <cellStyle name="Normal 16 7" xfId="3532"/>
    <cellStyle name="Normal 16 7 2" xfId="3533"/>
    <cellStyle name="Normal 16 7 3" xfId="3534"/>
    <cellStyle name="Normal 16 8" xfId="3535"/>
    <cellStyle name="Normal 16 8 2" xfId="3536"/>
    <cellStyle name="Normal 16 8 3" xfId="3537"/>
    <cellStyle name="Normal 16 9" xfId="3538"/>
    <cellStyle name="Normal 16 9 2" xfId="3539"/>
    <cellStyle name="Normal 16 9 3" xfId="3540"/>
    <cellStyle name="Normal 160" xfId="3541"/>
    <cellStyle name="Normal 161" xfId="3542"/>
    <cellStyle name="Normal 162" xfId="3543"/>
    <cellStyle name="Normal 163" xfId="3544"/>
    <cellStyle name="Normal 164" xfId="3545"/>
    <cellStyle name="Normal 165" xfId="3546"/>
    <cellStyle name="Normal 166" xfId="3547"/>
    <cellStyle name="Normal 167" xfId="3548"/>
    <cellStyle name="Normal 168" xfId="3549"/>
    <cellStyle name="Normal 169" xfId="3550"/>
    <cellStyle name="Normal 17" xfId="3551"/>
    <cellStyle name="Normal 17 10" xfId="3552"/>
    <cellStyle name="Normal 17 10 2" xfId="3553"/>
    <cellStyle name="Normal 17 10 3" xfId="3554"/>
    <cellStyle name="Normal 17 11" xfId="3555"/>
    <cellStyle name="Normal 17 11 2" xfId="3556"/>
    <cellStyle name="Normal 17 11 3" xfId="3557"/>
    <cellStyle name="Normal 17 12" xfId="3558"/>
    <cellStyle name="Normal 17 12 2" xfId="3559"/>
    <cellStyle name="Normal 17 12 3" xfId="3560"/>
    <cellStyle name="Normal 17 13" xfId="3561"/>
    <cellStyle name="Normal 17 13 2" xfId="3562"/>
    <cellStyle name="Normal 17 13 3" xfId="3563"/>
    <cellStyle name="Normal 17 14" xfId="3564"/>
    <cellStyle name="Normal 17 14 2" xfId="3565"/>
    <cellStyle name="Normal 17 14 3" xfId="3566"/>
    <cellStyle name="Normal 17 15" xfId="3567"/>
    <cellStyle name="Normal 17 15 2" xfId="3568"/>
    <cellStyle name="Normal 17 15 3" xfId="3569"/>
    <cellStyle name="Normal 17 16" xfId="3570"/>
    <cellStyle name="Normal 17 16 2" xfId="3571"/>
    <cellStyle name="Normal 17 16 3" xfId="3572"/>
    <cellStyle name="Normal 17 17" xfId="3573"/>
    <cellStyle name="Normal 17 18" xfId="3574"/>
    <cellStyle name="Normal 17 19" xfId="3575"/>
    <cellStyle name="Normal 17 2" xfId="3576"/>
    <cellStyle name="Normal 17 2 2" xfId="3577"/>
    <cellStyle name="Normal 17 2 3" xfId="3578"/>
    <cellStyle name="Normal 17 20" xfId="3579"/>
    <cellStyle name="Normal 17 21" xfId="3580"/>
    <cellStyle name="Normal 17 22" xfId="3581"/>
    <cellStyle name="Normal 17 23" xfId="3582"/>
    <cellStyle name="Normal 17 24" xfId="3583"/>
    <cellStyle name="Normal 17 25" xfId="3584"/>
    <cellStyle name="Normal 17 26" xfId="3585"/>
    <cellStyle name="Normal 17 27" xfId="3586"/>
    <cellStyle name="Normal 17 28" xfId="3587"/>
    <cellStyle name="Normal 17 29" xfId="3588"/>
    <cellStyle name="Normal 17 3" xfId="3589"/>
    <cellStyle name="Normal 17 3 2" xfId="3590"/>
    <cellStyle name="Normal 17 3 3" xfId="3591"/>
    <cellStyle name="Normal 17 30" xfId="3592"/>
    <cellStyle name="Normal 17 31" xfId="3593"/>
    <cellStyle name="Normal 17 32" xfId="3594"/>
    <cellStyle name="Normal 17 33" xfId="3595"/>
    <cellStyle name="Normal 17 34" xfId="3596"/>
    <cellStyle name="Normal 17 4" xfId="3597"/>
    <cellStyle name="Normal 17 4 2" xfId="3598"/>
    <cellStyle name="Normal 17 4 3" xfId="3599"/>
    <cellStyle name="Normal 17 5" xfId="3600"/>
    <cellStyle name="Normal 17 5 2" xfId="3601"/>
    <cellStyle name="Normal 17 5 3" xfId="3602"/>
    <cellStyle name="Normal 17 6" xfId="3603"/>
    <cellStyle name="Normal 17 6 2" xfId="3604"/>
    <cellStyle name="Normal 17 6 3" xfId="3605"/>
    <cellStyle name="Normal 17 7" xfId="3606"/>
    <cellStyle name="Normal 17 7 2" xfId="3607"/>
    <cellStyle name="Normal 17 7 3" xfId="3608"/>
    <cellStyle name="Normal 17 8" xfId="3609"/>
    <cellStyle name="Normal 17 8 2" xfId="3610"/>
    <cellStyle name="Normal 17 8 3" xfId="3611"/>
    <cellStyle name="Normal 17 9" xfId="3612"/>
    <cellStyle name="Normal 17 9 2" xfId="3613"/>
    <cellStyle name="Normal 17 9 3" xfId="3614"/>
    <cellStyle name="Normal 170" xfId="3615"/>
    <cellStyle name="Normal 171" xfId="3616"/>
    <cellStyle name="Normal 172" xfId="3617"/>
    <cellStyle name="Normal 173" xfId="3618"/>
    <cellStyle name="Normal 174" xfId="3619"/>
    <cellStyle name="Normal 175" xfId="3620"/>
    <cellStyle name="Normal 176" xfId="3621"/>
    <cellStyle name="Normal 177" xfId="3622"/>
    <cellStyle name="Normal 178" xfId="3623"/>
    <cellStyle name="Normal 179" xfId="3624"/>
    <cellStyle name="Normal 18" xfId="3625"/>
    <cellStyle name="Normal 18 10" xfId="3626"/>
    <cellStyle name="Normal 18 10 2" xfId="3627"/>
    <cellStyle name="Normal 18 10 3" xfId="3628"/>
    <cellStyle name="Normal 18 11" xfId="3629"/>
    <cellStyle name="Normal 18 11 2" xfId="3630"/>
    <cellStyle name="Normal 18 11 3" xfId="3631"/>
    <cellStyle name="Normal 18 12" xfId="3632"/>
    <cellStyle name="Normal 18 12 2" xfId="3633"/>
    <cellStyle name="Normal 18 12 3" xfId="3634"/>
    <cellStyle name="Normal 18 13" xfId="3635"/>
    <cellStyle name="Normal 18 13 2" xfId="3636"/>
    <cellStyle name="Normal 18 13 3" xfId="3637"/>
    <cellStyle name="Normal 18 14" xfId="3638"/>
    <cellStyle name="Normal 18 14 2" xfId="3639"/>
    <cellStyle name="Normal 18 14 3" xfId="3640"/>
    <cellStyle name="Normal 18 15" xfId="3641"/>
    <cellStyle name="Normal 18 15 2" xfId="3642"/>
    <cellStyle name="Normal 18 15 3" xfId="3643"/>
    <cellStyle name="Normal 18 16" xfId="3644"/>
    <cellStyle name="Normal 18 16 2" xfId="3645"/>
    <cellStyle name="Normal 18 16 3" xfId="3646"/>
    <cellStyle name="Normal 18 17" xfId="3647"/>
    <cellStyle name="Normal 18 18" xfId="3648"/>
    <cellStyle name="Normal 18 19" xfId="3649"/>
    <cellStyle name="Normal 18 2" xfId="3650"/>
    <cellStyle name="Normal 18 2 2" xfId="3651"/>
    <cellStyle name="Normal 18 2 3" xfId="3652"/>
    <cellStyle name="Normal 18 20" xfId="3653"/>
    <cellStyle name="Normal 18 21" xfId="3654"/>
    <cellStyle name="Normal 18 22" xfId="3655"/>
    <cellStyle name="Normal 18 23" xfId="3656"/>
    <cellStyle name="Normal 18 24" xfId="3657"/>
    <cellStyle name="Normal 18 25" xfId="3658"/>
    <cellStyle name="Normal 18 26" xfId="3659"/>
    <cellStyle name="Normal 18 27" xfId="3660"/>
    <cellStyle name="Normal 18 28" xfId="3661"/>
    <cellStyle name="Normal 18 29" xfId="3662"/>
    <cellStyle name="Normal 18 3" xfId="3663"/>
    <cellStyle name="Normal 18 3 2" xfId="3664"/>
    <cellStyle name="Normal 18 3 3" xfId="3665"/>
    <cellStyle name="Normal 18 30" xfId="3666"/>
    <cellStyle name="Normal 18 31" xfId="3667"/>
    <cellStyle name="Normal 18 32" xfId="3668"/>
    <cellStyle name="Normal 18 33" xfId="3669"/>
    <cellStyle name="Normal 18 34" xfId="3670"/>
    <cellStyle name="Normal 18 4" xfId="3671"/>
    <cellStyle name="Normal 18 4 2" xfId="3672"/>
    <cellStyle name="Normal 18 4 3" xfId="3673"/>
    <cellStyle name="Normal 18 5" xfId="3674"/>
    <cellStyle name="Normal 18 5 2" xfId="3675"/>
    <cellStyle name="Normal 18 5 3" xfId="3676"/>
    <cellStyle name="Normal 18 6" xfId="3677"/>
    <cellStyle name="Normal 18 6 2" xfId="3678"/>
    <cellStyle name="Normal 18 6 3" xfId="3679"/>
    <cellStyle name="Normal 18 7" xfId="3680"/>
    <cellStyle name="Normal 18 7 2" xfId="3681"/>
    <cellStyle name="Normal 18 7 3" xfId="3682"/>
    <cellStyle name="Normal 18 8" xfId="3683"/>
    <cellStyle name="Normal 18 8 2" xfId="3684"/>
    <cellStyle name="Normal 18 8 3" xfId="3685"/>
    <cellStyle name="Normal 18 9" xfId="3686"/>
    <cellStyle name="Normal 18 9 2" xfId="3687"/>
    <cellStyle name="Normal 18 9 3" xfId="3688"/>
    <cellStyle name="Normal 180" xfId="3689"/>
    <cellStyle name="Normal 181" xfId="3690"/>
    <cellStyle name="Normal 182" xfId="3691"/>
    <cellStyle name="Normal 183" xfId="3692"/>
    <cellStyle name="Normal 184" xfId="3693"/>
    <cellStyle name="Normal 185" xfId="3694"/>
    <cellStyle name="Normal 186" xfId="3695"/>
    <cellStyle name="Normal 187" xfId="3696"/>
    <cellStyle name="Normal 188" xfId="3697"/>
    <cellStyle name="Normal 189" xfId="3698"/>
    <cellStyle name="Normal 19" xfId="3699"/>
    <cellStyle name="Normal 19 10" xfId="3700"/>
    <cellStyle name="Normal 19 10 2" xfId="3701"/>
    <cellStyle name="Normal 19 10 3" xfId="3702"/>
    <cellStyle name="Normal 19 11" xfId="3703"/>
    <cellStyle name="Normal 19 11 2" xfId="3704"/>
    <cellStyle name="Normal 19 11 3" xfId="3705"/>
    <cellStyle name="Normal 19 12" xfId="3706"/>
    <cellStyle name="Normal 19 12 2" xfId="3707"/>
    <cellStyle name="Normal 19 12 3" xfId="3708"/>
    <cellStyle name="Normal 19 13" xfId="3709"/>
    <cellStyle name="Normal 19 13 2" xfId="3710"/>
    <cellStyle name="Normal 19 13 3" xfId="3711"/>
    <cellStyle name="Normal 19 14" xfId="3712"/>
    <cellStyle name="Normal 19 14 2" xfId="3713"/>
    <cellStyle name="Normal 19 14 3" xfId="3714"/>
    <cellStyle name="Normal 19 15" xfId="3715"/>
    <cellStyle name="Normal 19 15 2" xfId="3716"/>
    <cellStyle name="Normal 19 15 3" xfId="3717"/>
    <cellStyle name="Normal 19 16" xfId="3718"/>
    <cellStyle name="Normal 19 16 2" xfId="3719"/>
    <cellStyle name="Normal 19 16 3" xfId="3720"/>
    <cellStyle name="Normal 19 17" xfId="3721"/>
    <cellStyle name="Normal 19 18" xfId="3722"/>
    <cellStyle name="Normal 19 19" xfId="3723"/>
    <cellStyle name="Normal 19 2" xfId="3724"/>
    <cellStyle name="Normal 19 2 2" xfId="3725"/>
    <cellStyle name="Normal 19 2 3" xfId="3726"/>
    <cellStyle name="Normal 19 20" xfId="3727"/>
    <cellStyle name="Normal 19 21" xfId="3728"/>
    <cellStyle name="Normal 19 22" xfId="3729"/>
    <cellStyle name="Normal 19 23" xfId="3730"/>
    <cellStyle name="Normal 19 24" xfId="3731"/>
    <cellStyle name="Normal 19 25" xfId="3732"/>
    <cellStyle name="Normal 19 26" xfId="3733"/>
    <cellStyle name="Normal 19 27" xfId="3734"/>
    <cellStyle name="Normal 19 28" xfId="3735"/>
    <cellStyle name="Normal 19 29" xfId="3736"/>
    <cellStyle name="Normal 19 3" xfId="3737"/>
    <cellStyle name="Normal 19 3 2" xfId="3738"/>
    <cellStyle name="Normal 19 3 3" xfId="3739"/>
    <cellStyle name="Normal 19 30" xfId="3740"/>
    <cellStyle name="Normal 19 31" xfId="3741"/>
    <cellStyle name="Normal 19 32" xfId="3742"/>
    <cellStyle name="Normal 19 33" xfId="3743"/>
    <cellStyle name="Normal 19 34" xfId="3744"/>
    <cellStyle name="Normal 19 4" xfId="3745"/>
    <cellStyle name="Normal 19 4 2" xfId="3746"/>
    <cellStyle name="Normal 19 4 3" xfId="3747"/>
    <cellStyle name="Normal 19 5" xfId="3748"/>
    <cellStyle name="Normal 19 5 2" xfId="3749"/>
    <cellStyle name="Normal 19 5 3" xfId="3750"/>
    <cellStyle name="Normal 19 6" xfId="3751"/>
    <cellStyle name="Normal 19 6 2" xfId="3752"/>
    <cellStyle name="Normal 19 6 3" xfId="3753"/>
    <cellStyle name="Normal 19 7" xfId="3754"/>
    <cellStyle name="Normal 19 7 2" xfId="3755"/>
    <cellStyle name="Normal 19 7 3" xfId="3756"/>
    <cellStyle name="Normal 19 8" xfId="3757"/>
    <cellStyle name="Normal 19 8 2" xfId="3758"/>
    <cellStyle name="Normal 19 8 3" xfId="3759"/>
    <cellStyle name="Normal 19 9" xfId="3760"/>
    <cellStyle name="Normal 19 9 2" xfId="3761"/>
    <cellStyle name="Normal 19 9 3" xfId="3762"/>
    <cellStyle name="Normal 190" xfId="3763"/>
    <cellStyle name="Normal 191" xfId="3764"/>
    <cellStyle name="Normal 192" xfId="3765"/>
    <cellStyle name="Normal 193" xfId="3766"/>
    <cellStyle name="Normal 194" xfId="3767"/>
    <cellStyle name="Normal 195" xfId="3768"/>
    <cellStyle name="Normal 196" xfId="3769"/>
    <cellStyle name="Normal 197" xfId="3770"/>
    <cellStyle name="Normal 198" xfId="3771"/>
    <cellStyle name="Normal 199" xfId="3772"/>
    <cellStyle name="Normal 2" xfId="3773"/>
    <cellStyle name="Normal 2 10" xfId="3774"/>
    <cellStyle name="Normal 2 100" xfId="3775"/>
    <cellStyle name="Normal 2 101" xfId="3776"/>
    <cellStyle name="Normal 2 11" xfId="3777"/>
    <cellStyle name="Normal 2 12" xfId="3778"/>
    <cellStyle name="Normal 2 12 2" xfId="3779"/>
    <cellStyle name="Normal 2 12 2 2" xfId="3780"/>
    <cellStyle name="Normal 2 12 3" xfId="3781"/>
    <cellStyle name="Normal 2 12 3 2" xfId="3782"/>
    <cellStyle name="Normal 2 12 3 2 2" xfId="3783"/>
    <cellStyle name="Normal 2 12 3 3" xfId="3784"/>
    <cellStyle name="Normal 2 13" xfId="3785"/>
    <cellStyle name="Normal 2 14" xfId="3786"/>
    <cellStyle name="Normal 2 15" xfId="3787"/>
    <cellStyle name="Normal 2 16" xfId="3788"/>
    <cellStyle name="Normal 2 17" xfId="3789"/>
    <cellStyle name="Normal 2 17 10" xfId="3790"/>
    <cellStyle name="Normal 2 17 11" xfId="3791"/>
    <cellStyle name="Normal 2 17 12" xfId="3792"/>
    <cellStyle name="Normal 2 17 13" xfId="3793"/>
    <cellStyle name="Normal 2 17 14" xfId="3794"/>
    <cellStyle name="Normal 2 17 15" xfId="3795"/>
    <cellStyle name="Normal 2 17 16" xfId="3796"/>
    <cellStyle name="Normal 2 17 17" xfId="3797"/>
    <cellStyle name="Normal 2 17 18" xfId="3798"/>
    <cellStyle name="Normal 2 17 19" xfId="3799"/>
    <cellStyle name="Normal 2 17 2" xfId="3800"/>
    <cellStyle name="Normal 2 17 20" xfId="3801"/>
    <cellStyle name="Normal 2 17 21" xfId="3802"/>
    <cellStyle name="Normal 2 17 22" xfId="3803"/>
    <cellStyle name="Normal 2 17 23" xfId="3804"/>
    <cellStyle name="Normal 2 17 3" xfId="3805"/>
    <cellStyle name="Normal 2 17 4" xfId="3806"/>
    <cellStyle name="Normal 2 17 5" xfId="3807"/>
    <cellStyle name="Normal 2 17 6" xfId="3808"/>
    <cellStyle name="Normal 2 17 7" xfId="3809"/>
    <cellStyle name="Normal 2 17 8" xfId="3810"/>
    <cellStyle name="Normal 2 17 9" xfId="3811"/>
    <cellStyle name="Normal 2 18" xfId="3812"/>
    <cellStyle name="Normal 2 18 10" xfId="3813"/>
    <cellStyle name="Normal 2 18 11" xfId="3814"/>
    <cellStyle name="Normal 2 18 12" xfId="3815"/>
    <cellStyle name="Normal 2 18 13" xfId="3816"/>
    <cellStyle name="Normal 2 18 14" xfId="3817"/>
    <cellStyle name="Normal 2 18 15" xfId="3818"/>
    <cellStyle name="Normal 2 18 16" xfId="3819"/>
    <cellStyle name="Normal 2 18 17" xfId="3820"/>
    <cellStyle name="Normal 2 18 18" xfId="3821"/>
    <cellStyle name="Normal 2 18 19" xfId="3822"/>
    <cellStyle name="Normal 2 18 2" xfId="3823"/>
    <cellStyle name="Normal 2 18 20" xfId="3824"/>
    <cellStyle name="Normal 2 18 21" xfId="3825"/>
    <cellStyle name="Normal 2 18 22" xfId="3826"/>
    <cellStyle name="Normal 2 18 23" xfId="3827"/>
    <cellStyle name="Normal 2 18 3" xfId="3828"/>
    <cellStyle name="Normal 2 18 4" xfId="3829"/>
    <cellStyle name="Normal 2 18 5" xfId="3830"/>
    <cellStyle name="Normal 2 18 6" xfId="3831"/>
    <cellStyle name="Normal 2 18 7" xfId="3832"/>
    <cellStyle name="Normal 2 18 8" xfId="3833"/>
    <cellStyle name="Normal 2 18 9" xfId="3834"/>
    <cellStyle name="Normal 2 19" xfId="3835"/>
    <cellStyle name="Normal 2 19 10" xfId="3836"/>
    <cellStyle name="Normal 2 19 11" xfId="3837"/>
    <cellStyle name="Normal 2 19 12" xfId="3838"/>
    <cellStyle name="Normal 2 19 13" xfId="3839"/>
    <cellStyle name="Normal 2 19 14" xfId="3840"/>
    <cellStyle name="Normal 2 19 15" xfId="3841"/>
    <cellStyle name="Normal 2 19 16" xfId="3842"/>
    <cellStyle name="Normal 2 19 17" xfId="3843"/>
    <cellStyle name="Normal 2 19 18" xfId="3844"/>
    <cellStyle name="Normal 2 19 19" xfId="3845"/>
    <cellStyle name="Normal 2 19 2" xfId="3846"/>
    <cellStyle name="Normal 2 19 20" xfId="3847"/>
    <cellStyle name="Normal 2 19 21" xfId="3848"/>
    <cellStyle name="Normal 2 19 22" xfId="3849"/>
    <cellStyle name="Normal 2 19 23" xfId="3850"/>
    <cellStyle name="Normal 2 19 3" xfId="3851"/>
    <cellStyle name="Normal 2 19 4" xfId="3852"/>
    <cellStyle name="Normal 2 19 5" xfId="3853"/>
    <cellStyle name="Normal 2 19 6" xfId="3854"/>
    <cellStyle name="Normal 2 19 7" xfId="3855"/>
    <cellStyle name="Normal 2 19 8" xfId="3856"/>
    <cellStyle name="Normal 2 19 9" xfId="3857"/>
    <cellStyle name="Normal 2 2" xfId="3858"/>
    <cellStyle name="Normal 2 2 10" xfId="3859"/>
    <cellStyle name="Normal 2 2 11" xfId="3860"/>
    <cellStyle name="Normal 2 2 12" xfId="3861"/>
    <cellStyle name="Normal 2 2 13" xfId="3862"/>
    <cellStyle name="Normal 2 2 14" xfId="3863"/>
    <cellStyle name="Normal 2 2 15" xfId="3864"/>
    <cellStyle name="Normal 2 2 16" xfId="3865"/>
    <cellStyle name="Normal 2 2 17" xfId="3866"/>
    <cellStyle name="Normal 2 2 18" xfId="3867"/>
    <cellStyle name="Normal 2 2 19" xfId="3868"/>
    <cellStyle name="Normal 2 2 2" xfId="3869"/>
    <cellStyle name="Normal 2 2 2 10" xfId="3870"/>
    <cellStyle name="Normal 2 2 2 11" xfId="3871"/>
    <cellStyle name="Normal 2 2 2 12" xfId="3872"/>
    <cellStyle name="Normal 2 2 2 13" xfId="3873"/>
    <cellStyle name="Normal 2 2 2 14" xfId="3874"/>
    <cellStyle name="Normal 2 2 2 15" xfId="3875"/>
    <cellStyle name="Normal 2 2 2 16" xfId="3876"/>
    <cellStyle name="Normal 2 2 2 17" xfId="3877"/>
    <cellStyle name="Normal 2 2 2 18" xfId="3878"/>
    <cellStyle name="Normal 2 2 2 19" xfId="3879"/>
    <cellStyle name="Normal 2 2 2 2" xfId="3880"/>
    <cellStyle name="Normal 2 2 2 2 10" xfId="3881"/>
    <cellStyle name="Normal 2 2 2 2 11" xfId="3882"/>
    <cellStyle name="Normal 2 2 2 2 11 10" xfId="3883"/>
    <cellStyle name="Normal 2 2 2 2 11 11" xfId="3884"/>
    <cellStyle name="Normal 2 2 2 2 11 12" xfId="3885"/>
    <cellStyle name="Normal 2 2 2 2 11 13" xfId="3886"/>
    <cellStyle name="Normal 2 2 2 2 11 14" xfId="3887"/>
    <cellStyle name="Normal 2 2 2 2 11 15" xfId="3888"/>
    <cellStyle name="Normal 2 2 2 2 11 16" xfId="3889"/>
    <cellStyle name="Normal 2 2 2 2 11 17" xfId="3890"/>
    <cellStyle name="Normal 2 2 2 2 11 18" xfId="3891"/>
    <cellStyle name="Normal 2 2 2 2 11 19" xfId="3892"/>
    <cellStyle name="Normal 2 2 2 2 11 2" xfId="3893"/>
    <cellStyle name="Normal 2 2 2 2 11 20" xfId="3894"/>
    <cellStyle name="Normal 2 2 2 2 11 21" xfId="3895"/>
    <cellStyle name="Normal 2 2 2 2 11 22" xfId="3896"/>
    <cellStyle name="Normal 2 2 2 2 11 23" xfId="3897"/>
    <cellStyle name="Normal 2 2 2 2 11 3" xfId="3898"/>
    <cellStyle name="Normal 2 2 2 2 11 4" xfId="3899"/>
    <cellStyle name="Normal 2 2 2 2 11 5" xfId="3900"/>
    <cellStyle name="Normal 2 2 2 2 11 6" xfId="3901"/>
    <cellStyle name="Normal 2 2 2 2 11 7" xfId="3902"/>
    <cellStyle name="Normal 2 2 2 2 11 8" xfId="3903"/>
    <cellStyle name="Normal 2 2 2 2 11 9" xfId="3904"/>
    <cellStyle name="Normal 2 2 2 2 12" xfId="3905"/>
    <cellStyle name="Normal 2 2 2 2 12 10" xfId="3906"/>
    <cellStyle name="Normal 2 2 2 2 12 11" xfId="3907"/>
    <cellStyle name="Normal 2 2 2 2 12 12" xfId="3908"/>
    <cellStyle name="Normal 2 2 2 2 12 13" xfId="3909"/>
    <cellStyle name="Normal 2 2 2 2 12 14" xfId="3910"/>
    <cellStyle name="Normal 2 2 2 2 12 15" xfId="3911"/>
    <cellStyle name="Normal 2 2 2 2 12 16" xfId="3912"/>
    <cellStyle name="Normal 2 2 2 2 12 17" xfId="3913"/>
    <cellStyle name="Normal 2 2 2 2 12 18" xfId="3914"/>
    <cellStyle name="Normal 2 2 2 2 12 19" xfId="3915"/>
    <cellStyle name="Normal 2 2 2 2 12 2" xfId="3916"/>
    <cellStyle name="Normal 2 2 2 2 12 20" xfId="3917"/>
    <cellStyle name="Normal 2 2 2 2 12 21" xfId="3918"/>
    <cellStyle name="Normal 2 2 2 2 12 22" xfId="3919"/>
    <cellStyle name="Normal 2 2 2 2 12 23" xfId="3920"/>
    <cellStyle name="Normal 2 2 2 2 12 3" xfId="3921"/>
    <cellStyle name="Normal 2 2 2 2 12 4" xfId="3922"/>
    <cellStyle name="Normal 2 2 2 2 12 5" xfId="3923"/>
    <cellStyle name="Normal 2 2 2 2 12 6" xfId="3924"/>
    <cellStyle name="Normal 2 2 2 2 12 7" xfId="3925"/>
    <cellStyle name="Normal 2 2 2 2 12 8" xfId="3926"/>
    <cellStyle name="Normal 2 2 2 2 12 9" xfId="3927"/>
    <cellStyle name="Normal 2 2 2 2 13" xfId="3928"/>
    <cellStyle name="Normal 2 2 2 2 13 10" xfId="3929"/>
    <cellStyle name="Normal 2 2 2 2 13 11" xfId="3930"/>
    <cellStyle name="Normal 2 2 2 2 13 12" xfId="3931"/>
    <cellStyle name="Normal 2 2 2 2 13 13" xfId="3932"/>
    <cellStyle name="Normal 2 2 2 2 13 14" xfId="3933"/>
    <cellStyle name="Normal 2 2 2 2 13 15" xfId="3934"/>
    <cellStyle name="Normal 2 2 2 2 13 16" xfId="3935"/>
    <cellStyle name="Normal 2 2 2 2 13 17" xfId="3936"/>
    <cellStyle name="Normal 2 2 2 2 13 18" xfId="3937"/>
    <cellStyle name="Normal 2 2 2 2 13 19" xfId="3938"/>
    <cellStyle name="Normal 2 2 2 2 13 2" xfId="3939"/>
    <cellStyle name="Normal 2 2 2 2 13 20" xfId="3940"/>
    <cellStyle name="Normal 2 2 2 2 13 21" xfId="3941"/>
    <cellStyle name="Normal 2 2 2 2 13 22" xfId="3942"/>
    <cellStyle name="Normal 2 2 2 2 13 23" xfId="3943"/>
    <cellStyle name="Normal 2 2 2 2 13 3" xfId="3944"/>
    <cellStyle name="Normal 2 2 2 2 13 4" xfId="3945"/>
    <cellStyle name="Normal 2 2 2 2 13 5" xfId="3946"/>
    <cellStyle name="Normal 2 2 2 2 13 6" xfId="3947"/>
    <cellStyle name="Normal 2 2 2 2 13 7" xfId="3948"/>
    <cellStyle name="Normal 2 2 2 2 13 8" xfId="3949"/>
    <cellStyle name="Normal 2 2 2 2 13 9" xfId="3950"/>
    <cellStyle name="Normal 2 2 2 2 14" xfId="3951"/>
    <cellStyle name="Normal 2 2 2 2 14 10" xfId="3952"/>
    <cellStyle name="Normal 2 2 2 2 14 11" xfId="3953"/>
    <cellStyle name="Normal 2 2 2 2 14 12" xfId="3954"/>
    <cellStyle name="Normal 2 2 2 2 14 13" xfId="3955"/>
    <cellStyle name="Normal 2 2 2 2 14 14" xfId="3956"/>
    <cellStyle name="Normal 2 2 2 2 14 15" xfId="3957"/>
    <cellStyle name="Normal 2 2 2 2 14 16" xfId="3958"/>
    <cellStyle name="Normal 2 2 2 2 14 17" xfId="3959"/>
    <cellStyle name="Normal 2 2 2 2 14 18" xfId="3960"/>
    <cellStyle name="Normal 2 2 2 2 14 19" xfId="3961"/>
    <cellStyle name="Normal 2 2 2 2 14 2" xfId="3962"/>
    <cellStyle name="Normal 2 2 2 2 14 20" xfId="3963"/>
    <cellStyle name="Normal 2 2 2 2 14 21" xfId="3964"/>
    <cellStyle name="Normal 2 2 2 2 14 22" xfId="3965"/>
    <cellStyle name="Normal 2 2 2 2 14 23" xfId="3966"/>
    <cellStyle name="Normal 2 2 2 2 14 3" xfId="3967"/>
    <cellStyle name="Normal 2 2 2 2 14 4" xfId="3968"/>
    <cellStyle name="Normal 2 2 2 2 14 5" xfId="3969"/>
    <cellStyle name="Normal 2 2 2 2 14 6" xfId="3970"/>
    <cellStyle name="Normal 2 2 2 2 14 7" xfId="3971"/>
    <cellStyle name="Normal 2 2 2 2 14 8" xfId="3972"/>
    <cellStyle name="Normal 2 2 2 2 14 9" xfId="3973"/>
    <cellStyle name="Normal 2 2 2 2 15" xfId="3974"/>
    <cellStyle name="Normal 2 2 2 2 15 10" xfId="3975"/>
    <cellStyle name="Normal 2 2 2 2 15 11" xfId="3976"/>
    <cellStyle name="Normal 2 2 2 2 15 12" xfId="3977"/>
    <cellStyle name="Normal 2 2 2 2 15 13" xfId="3978"/>
    <cellStyle name="Normal 2 2 2 2 15 14" xfId="3979"/>
    <cellStyle name="Normal 2 2 2 2 15 15" xfId="3980"/>
    <cellStyle name="Normal 2 2 2 2 15 16" xfId="3981"/>
    <cellStyle name="Normal 2 2 2 2 15 17" xfId="3982"/>
    <cellStyle name="Normal 2 2 2 2 15 18" xfId="3983"/>
    <cellStyle name="Normal 2 2 2 2 15 19" xfId="3984"/>
    <cellStyle name="Normal 2 2 2 2 15 2" xfId="3985"/>
    <cellStyle name="Normal 2 2 2 2 15 20" xfId="3986"/>
    <cellStyle name="Normal 2 2 2 2 15 21" xfId="3987"/>
    <cellStyle name="Normal 2 2 2 2 15 22" xfId="3988"/>
    <cellStyle name="Normal 2 2 2 2 15 23" xfId="3989"/>
    <cellStyle name="Normal 2 2 2 2 15 3" xfId="3990"/>
    <cellStyle name="Normal 2 2 2 2 15 4" xfId="3991"/>
    <cellStyle name="Normal 2 2 2 2 15 5" xfId="3992"/>
    <cellStyle name="Normal 2 2 2 2 15 6" xfId="3993"/>
    <cellStyle name="Normal 2 2 2 2 15 7" xfId="3994"/>
    <cellStyle name="Normal 2 2 2 2 15 8" xfId="3995"/>
    <cellStyle name="Normal 2 2 2 2 15 9" xfId="3996"/>
    <cellStyle name="Normal 2 2 2 2 16" xfId="3997"/>
    <cellStyle name="Normal 2 2 2 2 16 10" xfId="3998"/>
    <cellStyle name="Normal 2 2 2 2 16 11" xfId="3999"/>
    <cellStyle name="Normal 2 2 2 2 16 12" xfId="4000"/>
    <cellStyle name="Normal 2 2 2 2 16 13" xfId="4001"/>
    <cellStyle name="Normal 2 2 2 2 16 14" xfId="4002"/>
    <cellStyle name="Normal 2 2 2 2 16 15" xfId="4003"/>
    <cellStyle name="Normal 2 2 2 2 16 16" xfId="4004"/>
    <cellStyle name="Normal 2 2 2 2 16 17" xfId="4005"/>
    <cellStyle name="Normal 2 2 2 2 16 18" xfId="4006"/>
    <cellStyle name="Normal 2 2 2 2 16 19" xfId="4007"/>
    <cellStyle name="Normal 2 2 2 2 16 2" xfId="4008"/>
    <cellStyle name="Normal 2 2 2 2 16 20" xfId="4009"/>
    <cellStyle name="Normal 2 2 2 2 16 21" xfId="4010"/>
    <cellStyle name="Normal 2 2 2 2 16 22" xfId="4011"/>
    <cellStyle name="Normal 2 2 2 2 16 23" xfId="4012"/>
    <cellStyle name="Normal 2 2 2 2 16 3" xfId="4013"/>
    <cellStyle name="Normal 2 2 2 2 16 4" xfId="4014"/>
    <cellStyle name="Normal 2 2 2 2 16 5" xfId="4015"/>
    <cellStyle name="Normal 2 2 2 2 16 6" xfId="4016"/>
    <cellStyle name="Normal 2 2 2 2 16 7" xfId="4017"/>
    <cellStyle name="Normal 2 2 2 2 16 8" xfId="4018"/>
    <cellStyle name="Normal 2 2 2 2 16 9" xfId="4019"/>
    <cellStyle name="Normal 2 2 2 2 17" xfId="4020"/>
    <cellStyle name="Normal 2 2 2 2 17 10" xfId="4021"/>
    <cellStyle name="Normal 2 2 2 2 17 11" xfId="4022"/>
    <cellStyle name="Normal 2 2 2 2 17 12" xfId="4023"/>
    <cellStyle name="Normal 2 2 2 2 17 13" xfId="4024"/>
    <cellStyle name="Normal 2 2 2 2 17 14" xfId="4025"/>
    <cellStyle name="Normal 2 2 2 2 17 15" xfId="4026"/>
    <cellStyle name="Normal 2 2 2 2 17 16" xfId="4027"/>
    <cellStyle name="Normal 2 2 2 2 17 17" xfId="4028"/>
    <cellStyle name="Normal 2 2 2 2 17 18" xfId="4029"/>
    <cellStyle name="Normal 2 2 2 2 17 19" xfId="4030"/>
    <cellStyle name="Normal 2 2 2 2 17 2" xfId="4031"/>
    <cellStyle name="Normal 2 2 2 2 17 20" xfId="4032"/>
    <cellStyle name="Normal 2 2 2 2 17 21" xfId="4033"/>
    <cellStyle name="Normal 2 2 2 2 17 22" xfId="4034"/>
    <cellStyle name="Normal 2 2 2 2 17 23" xfId="4035"/>
    <cellStyle name="Normal 2 2 2 2 17 3" xfId="4036"/>
    <cellStyle name="Normal 2 2 2 2 17 4" xfId="4037"/>
    <cellStyle name="Normal 2 2 2 2 17 5" xfId="4038"/>
    <cellStyle name="Normal 2 2 2 2 17 6" xfId="4039"/>
    <cellStyle name="Normal 2 2 2 2 17 7" xfId="4040"/>
    <cellStyle name="Normal 2 2 2 2 17 8" xfId="4041"/>
    <cellStyle name="Normal 2 2 2 2 17 9" xfId="4042"/>
    <cellStyle name="Normal 2 2 2 2 18" xfId="4043"/>
    <cellStyle name="Normal 2 2 2 2 18 10" xfId="4044"/>
    <cellStyle name="Normal 2 2 2 2 18 11" xfId="4045"/>
    <cellStyle name="Normal 2 2 2 2 18 12" xfId="4046"/>
    <cellStyle name="Normal 2 2 2 2 18 13" xfId="4047"/>
    <cellStyle name="Normal 2 2 2 2 18 14" xfId="4048"/>
    <cellStyle name="Normal 2 2 2 2 18 15" xfId="4049"/>
    <cellStyle name="Normal 2 2 2 2 18 16" xfId="4050"/>
    <cellStyle name="Normal 2 2 2 2 18 17" xfId="4051"/>
    <cellStyle name="Normal 2 2 2 2 18 18" xfId="4052"/>
    <cellStyle name="Normal 2 2 2 2 18 19" xfId="4053"/>
    <cellStyle name="Normal 2 2 2 2 18 2" xfId="4054"/>
    <cellStyle name="Normal 2 2 2 2 18 20" xfId="4055"/>
    <cellStyle name="Normal 2 2 2 2 18 21" xfId="4056"/>
    <cellStyle name="Normal 2 2 2 2 18 22" xfId="4057"/>
    <cellStyle name="Normal 2 2 2 2 18 23" xfId="4058"/>
    <cellStyle name="Normal 2 2 2 2 18 3" xfId="4059"/>
    <cellStyle name="Normal 2 2 2 2 18 4" xfId="4060"/>
    <cellStyle name="Normal 2 2 2 2 18 5" xfId="4061"/>
    <cellStyle name="Normal 2 2 2 2 18 6" xfId="4062"/>
    <cellStyle name="Normal 2 2 2 2 18 7" xfId="4063"/>
    <cellStyle name="Normal 2 2 2 2 18 8" xfId="4064"/>
    <cellStyle name="Normal 2 2 2 2 18 9" xfId="4065"/>
    <cellStyle name="Normal 2 2 2 2 19" xfId="4066"/>
    <cellStyle name="Normal 2 2 2 2 19 2" xfId="4067"/>
    <cellStyle name="Normal 2 2 2 2 2" xfId="4068"/>
    <cellStyle name="Normal 2 2 2 2 2 10" xfId="4069"/>
    <cellStyle name="Normal 2 2 2 2 2 10 10" xfId="4070"/>
    <cellStyle name="Normal 2 2 2 2 2 10 11" xfId="4071"/>
    <cellStyle name="Normal 2 2 2 2 2 10 12" xfId="4072"/>
    <cellStyle name="Normal 2 2 2 2 2 10 13" xfId="4073"/>
    <cellStyle name="Normal 2 2 2 2 2 10 14" xfId="4074"/>
    <cellStyle name="Normal 2 2 2 2 2 10 15" xfId="4075"/>
    <cellStyle name="Normal 2 2 2 2 2 10 16" xfId="4076"/>
    <cellStyle name="Normal 2 2 2 2 2 10 17" xfId="4077"/>
    <cellStyle name="Normal 2 2 2 2 2 10 18" xfId="4078"/>
    <cellStyle name="Normal 2 2 2 2 2 10 19" xfId="4079"/>
    <cellStyle name="Normal 2 2 2 2 2 10 2" xfId="4080"/>
    <cellStyle name="Normal 2 2 2 2 2 10 20" xfId="4081"/>
    <cellStyle name="Normal 2 2 2 2 2 10 21" xfId="4082"/>
    <cellStyle name="Normal 2 2 2 2 2 10 22" xfId="4083"/>
    <cellStyle name="Normal 2 2 2 2 2 10 23" xfId="4084"/>
    <cellStyle name="Normal 2 2 2 2 2 10 3" xfId="4085"/>
    <cellStyle name="Normal 2 2 2 2 2 10 4" xfId="4086"/>
    <cellStyle name="Normal 2 2 2 2 2 10 5" xfId="4087"/>
    <cellStyle name="Normal 2 2 2 2 2 10 6" xfId="4088"/>
    <cellStyle name="Normal 2 2 2 2 2 10 7" xfId="4089"/>
    <cellStyle name="Normal 2 2 2 2 2 10 8" xfId="4090"/>
    <cellStyle name="Normal 2 2 2 2 2 10 9" xfId="4091"/>
    <cellStyle name="Normal 2 2 2 2 2 11" xfId="4092"/>
    <cellStyle name="Normal 2 2 2 2 2 11 10" xfId="4093"/>
    <cellStyle name="Normal 2 2 2 2 2 11 11" xfId="4094"/>
    <cellStyle name="Normal 2 2 2 2 2 11 12" xfId="4095"/>
    <cellStyle name="Normal 2 2 2 2 2 11 13" xfId="4096"/>
    <cellStyle name="Normal 2 2 2 2 2 11 14" xfId="4097"/>
    <cellStyle name="Normal 2 2 2 2 2 11 15" xfId="4098"/>
    <cellStyle name="Normal 2 2 2 2 2 11 16" xfId="4099"/>
    <cellStyle name="Normal 2 2 2 2 2 11 17" xfId="4100"/>
    <cellStyle name="Normal 2 2 2 2 2 11 18" xfId="4101"/>
    <cellStyle name="Normal 2 2 2 2 2 11 19" xfId="4102"/>
    <cellStyle name="Normal 2 2 2 2 2 11 2" xfId="4103"/>
    <cellStyle name="Normal 2 2 2 2 2 11 20" xfId="4104"/>
    <cellStyle name="Normal 2 2 2 2 2 11 21" xfId="4105"/>
    <cellStyle name="Normal 2 2 2 2 2 11 22" xfId="4106"/>
    <cellStyle name="Normal 2 2 2 2 2 11 23" xfId="4107"/>
    <cellStyle name="Normal 2 2 2 2 2 11 3" xfId="4108"/>
    <cellStyle name="Normal 2 2 2 2 2 11 4" xfId="4109"/>
    <cellStyle name="Normal 2 2 2 2 2 11 5" xfId="4110"/>
    <cellStyle name="Normal 2 2 2 2 2 11 6" xfId="4111"/>
    <cellStyle name="Normal 2 2 2 2 2 11 7" xfId="4112"/>
    <cellStyle name="Normal 2 2 2 2 2 11 8" xfId="4113"/>
    <cellStyle name="Normal 2 2 2 2 2 11 9" xfId="4114"/>
    <cellStyle name="Normal 2 2 2 2 2 12" xfId="4115"/>
    <cellStyle name="Normal 2 2 2 2 2 12 10" xfId="4116"/>
    <cellStyle name="Normal 2 2 2 2 2 12 11" xfId="4117"/>
    <cellStyle name="Normal 2 2 2 2 2 12 12" xfId="4118"/>
    <cellStyle name="Normal 2 2 2 2 2 12 13" xfId="4119"/>
    <cellStyle name="Normal 2 2 2 2 2 12 14" xfId="4120"/>
    <cellStyle name="Normal 2 2 2 2 2 12 15" xfId="4121"/>
    <cellStyle name="Normal 2 2 2 2 2 12 16" xfId="4122"/>
    <cellStyle name="Normal 2 2 2 2 2 12 17" xfId="4123"/>
    <cellStyle name="Normal 2 2 2 2 2 12 18" xfId="4124"/>
    <cellStyle name="Normal 2 2 2 2 2 12 19" xfId="4125"/>
    <cellStyle name="Normal 2 2 2 2 2 12 2" xfId="4126"/>
    <cellStyle name="Normal 2 2 2 2 2 12 20" xfId="4127"/>
    <cellStyle name="Normal 2 2 2 2 2 12 21" xfId="4128"/>
    <cellStyle name="Normal 2 2 2 2 2 12 22" xfId="4129"/>
    <cellStyle name="Normal 2 2 2 2 2 12 23" xfId="4130"/>
    <cellStyle name="Normal 2 2 2 2 2 12 3" xfId="4131"/>
    <cellStyle name="Normal 2 2 2 2 2 12 4" xfId="4132"/>
    <cellStyle name="Normal 2 2 2 2 2 12 5" xfId="4133"/>
    <cellStyle name="Normal 2 2 2 2 2 12 6" xfId="4134"/>
    <cellStyle name="Normal 2 2 2 2 2 12 7" xfId="4135"/>
    <cellStyle name="Normal 2 2 2 2 2 12 8" xfId="4136"/>
    <cellStyle name="Normal 2 2 2 2 2 12 9" xfId="4137"/>
    <cellStyle name="Normal 2 2 2 2 2 13" xfId="4138"/>
    <cellStyle name="Normal 2 2 2 2 2 13 10" xfId="4139"/>
    <cellStyle name="Normal 2 2 2 2 2 13 11" xfId="4140"/>
    <cellStyle name="Normal 2 2 2 2 2 13 12" xfId="4141"/>
    <cellStyle name="Normal 2 2 2 2 2 13 13" xfId="4142"/>
    <cellStyle name="Normal 2 2 2 2 2 13 14" xfId="4143"/>
    <cellStyle name="Normal 2 2 2 2 2 13 15" xfId="4144"/>
    <cellStyle name="Normal 2 2 2 2 2 13 16" xfId="4145"/>
    <cellStyle name="Normal 2 2 2 2 2 13 17" xfId="4146"/>
    <cellStyle name="Normal 2 2 2 2 2 13 18" xfId="4147"/>
    <cellStyle name="Normal 2 2 2 2 2 13 19" xfId="4148"/>
    <cellStyle name="Normal 2 2 2 2 2 13 2" xfId="4149"/>
    <cellStyle name="Normal 2 2 2 2 2 13 20" xfId="4150"/>
    <cellStyle name="Normal 2 2 2 2 2 13 21" xfId="4151"/>
    <cellStyle name="Normal 2 2 2 2 2 13 22" xfId="4152"/>
    <cellStyle name="Normal 2 2 2 2 2 13 23" xfId="4153"/>
    <cellStyle name="Normal 2 2 2 2 2 13 3" xfId="4154"/>
    <cellStyle name="Normal 2 2 2 2 2 13 4" xfId="4155"/>
    <cellStyle name="Normal 2 2 2 2 2 13 5" xfId="4156"/>
    <cellStyle name="Normal 2 2 2 2 2 13 6" xfId="4157"/>
    <cellStyle name="Normal 2 2 2 2 2 13 7" xfId="4158"/>
    <cellStyle name="Normal 2 2 2 2 2 13 8" xfId="4159"/>
    <cellStyle name="Normal 2 2 2 2 2 13 9" xfId="4160"/>
    <cellStyle name="Normal 2 2 2 2 2 14" xfId="4161"/>
    <cellStyle name="Normal 2 2 2 2 2 14 10" xfId="4162"/>
    <cellStyle name="Normal 2 2 2 2 2 14 11" xfId="4163"/>
    <cellStyle name="Normal 2 2 2 2 2 14 12" xfId="4164"/>
    <cellStyle name="Normal 2 2 2 2 2 14 13" xfId="4165"/>
    <cellStyle name="Normal 2 2 2 2 2 14 14" xfId="4166"/>
    <cellStyle name="Normal 2 2 2 2 2 14 15" xfId="4167"/>
    <cellStyle name="Normal 2 2 2 2 2 14 16" xfId="4168"/>
    <cellStyle name="Normal 2 2 2 2 2 14 17" xfId="4169"/>
    <cellStyle name="Normal 2 2 2 2 2 14 18" xfId="4170"/>
    <cellStyle name="Normal 2 2 2 2 2 14 19" xfId="4171"/>
    <cellStyle name="Normal 2 2 2 2 2 14 2" xfId="4172"/>
    <cellStyle name="Normal 2 2 2 2 2 14 20" xfId="4173"/>
    <cellStyle name="Normal 2 2 2 2 2 14 21" xfId="4174"/>
    <cellStyle name="Normal 2 2 2 2 2 14 22" xfId="4175"/>
    <cellStyle name="Normal 2 2 2 2 2 14 23" xfId="4176"/>
    <cellStyle name="Normal 2 2 2 2 2 14 3" xfId="4177"/>
    <cellStyle name="Normal 2 2 2 2 2 14 4" xfId="4178"/>
    <cellStyle name="Normal 2 2 2 2 2 14 5" xfId="4179"/>
    <cellStyle name="Normal 2 2 2 2 2 14 6" xfId="4180"/>
    <cellStyle name="Normal 2 2 2 2 2 14 7" xfId="4181"/>
    <cellStyle name="Normal 2 2 2 2 2 14 8" xfId="4182"/>
    <cellStyle name="Normal 2 2 2 2 2 14 9" xfId="4183"/>
    <cellStyle name="Normal 2 2 2 2 2 15" xfId="4184"/>
    <cellStyle name="Normal 2 2 2 2 2 15 10" xfId="4185"/>
    <cellStyle name="Normal 2 2 2 2 2 15 11" xfId="4186"/>
    <cellStyle name="Normal 2 2 2 2 2 15 12" xfId="4187"/>
    <cellStyle name="Normal 2 2 2 2 2 15 13" xfId="4188"/>
    <cellStyle name="Normal 2 2 2 2 2 15 14" xfId="4189"/>
    <cellStyle name="Normal 2 2 2 2 2 15 15" xfId="4190"/>
    <cellStyle name="Normal 2 2 2 2 2 15 16" xfId="4191"/>
    <cellStyle name="Normal 2 2 2 2 2 15 17" xfId="4192"/>
    <cellStyle name="Normal 2 2 2 2 2 15 18" xfId="4193"/>
    <cellStyle name="Normal 2 2 2 2 2 15 19" xfId="4194"/>
    <cellStyle name="Normal 2 2 2 2 2 15 2" xfId="4195"/>
    <cellStyle name="Normal 2 2 2 2 2 15 20" xfId="4196"/>
    <cellStyle name="Normal 2 2 2 2 2 15 21" xfId="4197"/>
    <cellStyle name="Normal 2 2 2 2 2 15 22" xfId="4198"/>
    <cellStyle name="Normal 2 2 2 2 2 15 23" xfId="4199"/>
    <cellStyle name="Normal 2 2 2 2 2 15 3" xfId="4200"/>
    <cellStyle name="Normal 2 2 2 2 2 15 4" xfId="4201"/>
    <cellStyle name="Normal 2 2 2 2 2 15 5" xfId="4202"/>
    <cellStyle name="Normal 2 2 2 2 2 15 6" xfId="4203"/>
    <cellStyle name="Normal 2 2 2 2 2 15 7" xfId="4204"/>
    <cellStyle name="Normal 2 2 2 2 2 15 8" xfId="4205"/>
    <cellStyle name="Normal 2 2 2 2 2 15 9" xfId="4206"/>
    <cellStyle name="Normal 2 2 2 2 2 16" xfId="4207"/>
    <cellStyle name="Normal 2 2 2 2 2 16 10" xfId="4208"/>
    <cellStyle name="Normal 2 2 2 2 2 16 11" xfId="4209"/>
    <cellStyle name="Normal 2 2 2 2 2 16 12" xfId="4210"/>
    <cellStyle name="Normal 2 2 2 2 2 16 13" xfId="4211"/>
    <cellStyle name="Normal 2 2 2 2 2 16 14" xfId="4212"/>
    <cellStyle name="Normal 2 2 2 2 2 16 15" xfId="4213"/>
    <cellStyle name="Normal 2 2 2 2 2 16 16" xfId="4214"/>
    <cellStyle name="Normal 2 2 2 2 2 16 17" xfId="4215"/>
    <cellStyle name="Normal 2 2 2 2 2 16 18" xfId="4216"/>
    <cellStyle name="Normal 2 2 2 2 2 16 19" xfId="4217"/>
    <cellStyle name="Normal 2 2 2 2 2 16 2" xfId="4218"/>
    <cellStyle name="Normal 2 2 2 2 2 16 20" xfId="4219"/>
    <cellStyle name="Normal 2 2 2 2 2 16 21" xfId="4220"/>
    <cellStyle name="Normal 2 2 2 2 2 16 22" xfId="4221"/>
    <cellStyle name="Normal 2 2 2 2 2 16 23" xfId="4222"/>
    <cellStyle name="Normal 2 2 2 2 2 16 3" xfId="4223"/>
    <cellStyle name="Normal 2 2 2 2 2 16 4" xfId="4224"/>
    <cellStyle name="Normal 2 2 2 2 2 16 5" xfId="4225"/>
    <cellStyle name="Normal 2 2 2 2 2 16 6" xfId="4226"/>
    <cellStyle name="Normal 2 2 2 2 2 16 7" xfId="4227"/>
    <cellStyle name="Normal 2 2 2 2 2 16 8" xfId="4228"/>
    <cellStyle name="Normal 2 2 2 2 2 16 9" xfId="4229"/>
    <cellStyle name="Normal 2 2 2 2 2 17" xfId="4230"/>
    <cellStyle name="Normal 2 2 2 2 2 17 10" xfId="4231"/>
    <cellStyle name="Normal 2 2 2 2 2 17 11" xfId="4232"/>
    <cellStyle name="Normal 2 2 2 2 2 17 12" xfId="4233"/>
    <cellStyle name="Normal 2 2 2 2 2 17 13" xfId="4234"/>
    <cellStyle name="Normal 2 2 2 2 2 17 14" xfId="4235"/>
    <cellStyle name="Normal 2 2 2 2 2 17 15" xfId="4236"/>
    <cellStyle name="Normal 2 2 2 2 2 17 16" xfId="4237"/>
    <cellStyle name="Normal 2 2 2 2 2 17 17" xfId="4238"/>
    <cellStyle name="Normal 2 2 2 2 2 17 18" xfId="4239"/>
    <cellStyle name="Normal 2 2 2 2 2 17 19" xfId="4240"/>
    <cellStyle name="Normal 2 2 2 2 2 17 2" xfId="4241"/>
    <cellStyle name="Normal 2 2 2 2 2 17 20" xfId="4242"/>
    <cellStyle name="Normal 2 2 2 2 2 17 21" xfId="4243"/>
    <cellStyle name="Normal 2 2 2 2 2 17 22" xfId="4244"/>
    <cellStyle name="Normal 2 2 2 2 2 17 23" xfId="4245"/>
    <cellStyle name="Normal 2 2 2 2 2 17 3" xfId="4246"/>
    <cellStyle name="Normal 2 2 2 2 2 17 4" xfId="4247"/>
    <cellStyle name="Normal 2 2 2 2 2 17 5" xfId="4248"/>
    <cellStyle name="Normal 2 2 2 2 2 17 6" xfId="4249"/>
    <cellStyle name="Normal 2 2 2 2 2 17 7" xfId="4250"/>
    <cellStyle name="Normal 2 2 2 2 2 17 8" xfId="4251"/>
    <cellStyle name="Normal 2 2 2 2 2 17 9" xfId="4252"/>
    <cellStyle name="Normal 2 2 2 2 2 18" xfId="4253"/>
    <cellStyle name="Normal 2 2 2 2 2 18 2" xfId="4254"/>
    <cellStyle name="Normal 2 2 2 2 2 19" xfId="4255"/>
    <cellStyle name="Normal 2 2 2 2 2 19 2" xfId="4256"/>
    <cellStyle name="Normal 2 2 2 2 2 2" xfId="4257"/>
    <cellStyle name="Normal 2 2 2 2 2 2 10" xfId="4258"/>
    <cellStyle name="Normal 2 2 2 2 2 2 10 10" xfId="4259"/>
    <cellStyle name="Normal 2 2 2 2 2 2 10 11" xfId="4260"/>
    <cellStyle name="Normal 2 2 2 2 2 2 10 12" xfId="4261"/>
    <cellStyle name="Normal 2 2 2 2 2 2 10 13" xfId="4262"/>
    <cellStyle name="Normal 2 2 2 2 2 2 10 14" xfId="4263"/>
    <cellStyle name="Normal 2 2 2 2 2 2 10 15" xfId="4264"/>
    <cellStyle name="Normal 2 2 2 2 2 2 10 16" xfId="4265"/>
    <cellStyle name="Normal 2 2 2 2 2 2 10 17" xfId="4266"/>
    <cellStyle name="Normal 2 2 2 2 2 2 10 18" xfId="4267"/>
    <cellStyle name="Normal 2 2 2 2 2 2 10 19" xfId="4268"/>
    <cellStyle name="Normal 2 2 2 2 2 2 10 2" xfId="4269"/>
    <cellStyle name="Normal 2 2 2 2 2 2 10 20" xfId="4270"/>
    <cellStyle name="Normal 2 2 2 2 2 2 10 21" xfId="4271"/>
    <cellStyle name="Normal 2 2 2 2 2 2 10 22" xfId="4272"/>
    <cellStyle name="Normal 2 2 2 2 2 2 10 23" xfId="4273"/>
    <cellStyle name="Normal 2 2 2 2 2 2 10 3" xfId="4274"/>
    <cellStyle name="Normal 2 2 2 2 2 2 10 4" xfId="4275"/>
    <cellStyle name="Normal 2 2 2 2 2 2 10 5" xfId="4276"/>
    <cellStyle name="Normal 2 2 2 2 2 2 10 6" xfId="4277"/>
    <cellStyle name="Normal 2 2 2 2 2 2 10 7" xfId="4278"/>
    <cellStyle name="Normal 2 2 2 2 2 2 10 8" xfId="4279"/>
    <cellStyle name="Normal 2 2 2 2 2 2 10 9" xfId="4280"/>
    <cellStyle name="Normal 2 2 2 2 2 2 11" xfId="4281"/>
    <cellStyle name="Normal 2 2 2 2 2 2 11 10" xfId="4282"/>
    <cellStyle name="Normal 2 2 2 2 2 2 11 11" xfId="4283"/>
    <cellStyle name="Normal 2 2 2 2 2 2 11 12" xfId="4284"/>
    <cellStyle name="Normal 2 2 2 2 2 2 11 13" xfId="4285"/>
    <cellStyle name="Normal 2 2 2 2 2 2 11 14" xfId="4286"/>
    <cellStyle name="Normal 2 2 2 2 2 2 11 15" xfId="4287"/>
    <cellStyle name="Normal 2 2 2 2 2 2 11 16" xfId="4288"/>
    <cellStyle name="Normal 2 2 2 2 2 2 11 17" xfId="4289"/>
    <cellStyle name="Normal 2 2 2 2 2 2 11 18" xfId="4290"/>
    <cellStyle name="Normal 2 2 2 2 2 2 11 19" xfId="4291"/>
    <cellStyle name="Normal 2 2 2 2 2 2 11 2" xfId="4292"/>
    <cellStyle name="Normal 2 2 2 2 2 2 11 20" xfId="4293"/>
    <cellStyle name="Normal 2 2 2 2 2 2 11 21" xfId="4294"/>
    <cellStyle name="Normal 2 2 2 2 2 2 11 22" xfId="4295"/>
    <cellStyle name="Normal 2 2 2 2 2 2 11 23" xfId="4296"/>
    <cellStyle name="Normal 2 2 2 2 2 2 11 3" xfId="4297"/>
    <cellStyle name="Normal 2 2 2 2 2 2 11 4" xfId="4298"/>
    <cellStyle name="Normal 2 2 2 2 2 2 11 5" xfId="4299"/>
    <cellStyle name="Normal 2 2 2 2 2 2 11 6" xfId="4300"/>
    <cellStyle name="Normal 2 2 2 2 2 2 11 7" xfId="4301"/>
    <cellStyle name="Normal 2 2 2 2 2 2 11 8" xfId="4302"/>
    <cellStyle name="Normal 2 2 2 2 2 2 11 9" xfId="4303"/>
    <cellStyle name="Normal 2 2 2 2 2 2 12" xfId="4304"/>
    <cellStyle name="Normal 2 2 2 2 2 2 12 10" xfId="4305"/>
    <cellStyle name="Normal 2 2 2 2 2 2 12 11" xfId="4306"/>
    <cellStyle name="Normal 2 2 2 2 2 2 12 12" xfId="4307"/>
    <cellStyle name="Normal 2 2 2 2 2 2 12 13" xfId="4308"/>
    <cellStyle name="Normal 2 2 2 2 2 2 12 14" xfId="4309"/>
    <cellStyle name="Normal 2 2 2 2 2 2 12 15" xfId="4310"/>
    <cellStyle name="Normal 2 2 2 2 2 2 12 16" xfId="4311"/>
    <cellStyle name="Normal 2 2 2 2 2 2 12 17" xfId="4312"/>
    <cellStyle name="Normal 2 2 2 2 2 2 12 18" xfId="4313"/>
    <cellStyle name="Normal 2 2 2 2 2 2 12 19" xfId="4314"/>
    <cellStyle name="Normal 2 2 2 2 2 2 12 2" xfId="4315"/>
    <cellStyle name="Normal 2 2 2 2 2 2 12 20" xfId="4316"/>
    <cellStyle name="Normal 2 2 2 2 2 2 12 21" xfId="4317"/>
    <cellStyle name="Normal 2 2 2 2 2 2 12 22" xfId="4318"/>
    <cellStyle name="Normal 2 2 2 2 2 2 12 23" xfId="4319"/>
    <cellStyle name="Normal 2 2 2 2 2 2 12 3" xfId="4320"/>
    <cellStyle name="Normal 2 2 2 2 2 2 12 4" xfId="4321"/>
    <cellStyle name="Normal 2 2 2 2 2 2 12 5" xfId="4322"/>
    <cellStyle name="Normal 2 2 2 2 2 2 12 6" xfId="4323"/>
    <cellStyle name="Normal 2 2 2 2 2 2 12 7" xfId="4324"/>
    <cellStyle name="Normal 2 2 2 2 2 2 12 8" xfId="4325"/>
    <cellStyle name="Normal 2 2 2 2 2 2 12 9" xfId="4326"/>
    <cellStyle name="Normal 2 2 2 2 2 2 13" xfId="4327"/>
    <cellStyle name="Normal 2 2 2 2 2 2 13 10" xfId="4328"/>
    <cellStyle name="Normal 2 2 2 2 2 2 13 11" xfId="4329"/>
    <cellStyle name="Normal 2 2 2 2 2 2 13 12" xfId="4330"/>
    <cellStyle name="Normal 2 2 2 2 2 2 13 13" xfId="4331"/>
    <cellStyle name="Normal 2 2 2 2 2 2 13 14" xfId="4332"/>
    <cellStyle name="Normal 2 2 2 2 2 2 13 15" xfId="4333"/>
    <cellStyle name="Normal 2 2 2 2 2 2 13 16" xfId="4334"/>
    <cellStyle name="Normal 2 2 2 2 2 2 13 17" xfId="4335"/>
    <cellStyle name="Normal 2 2 2 2 2 2 13 18" xfId="4336"/>
    <cellStyle name="Normal 2 2 2 2 2 2 13 19" xfId="4337"/>
    <cellStyle name="Normal 2 2 2 2 2 2 13 2" xfId="4338"/>
    <cellStyle name="Normal 2 2 2 2 2 2 13 20" xfId="4339"/>
    <cellStyle name="Normal 2 2 2 2 2 2 13 21" xfId="4340"/>
    <cellStyle name="Normal 2 2 2 2 2 2 13 22" xfId="4341"/>
    <cellStyle name="Normal 2 2 2 2 2 2 13 23" xfId="4342"/>
    <cellStyle name="Normal 2 2 2 2 2 2 13 3" xfId="4343"/>
    <cellStyle name="Normal 2 2 2 2 2 2 13 4" xfId="4344"/>
    <cellStyle name="Normal 2 2 2 2 2 2 13 5" xfId="4345"/>
    <cellStyle name="Normal 2 2 2 2 2 2 13 6" xfId="4346"/>
    <cellStyle name="Normal 2 2 2 2 2 2 13 7" xfId="4347"/>
    <cellStyle name="Normal 2 2 2 2 2 2 13 8" xfId="4348"/>
    <cellStyle name="Normal 2 2 2 2 2 2 13 9" xfId="4349"/>
    <cellStyle name="Normal 2 2 2 2 2 2 14" xfId="4350"/>
    <cellStyle name="Normal 2 2 2 2 2 2 14 10" xfId="4351"/>
    <cellStyle name="Normal 2 2 2 2 2 2 14 11" xfId="4352"/>
    <cellStyle name="Normal 2 2 2 2 2 2 14 12" xfId="4353"/>
    <cellStyle name="Normal 2 2 2 2 2 2 14 13" xfId="4354"/>
    <cellStyle name="Normal 2 2 2 2 2 2 14 14" xfId="4355"/>
    <cellStyle name="Normal 2 2 2 2 2 2 14 15" xfId="4356"/>
    <cellStyle name="Normal 2 2 2 2 2 2 14 16" xfId="4357"/>
    <cellStyle name="Normal 2 2 2 2 2 2 14 17" xfId="4358"/>
    <cellStyle name="Normal 2 2 2 2 2 2 14 18" xfId="4359"/>
    <cellStyle name="Normal 2 2 2 2 2 2 14 19" xfId="4360"/>
    <cellStyle name="Normal 2 2 2 2 2 2 14 2" xfId="4361"/>
    <cellStyle name="Normal 2 2 2 2 2 2 14 20" xfId="4362"/>
    <cellStyle name="Normal 2 2 2 2 2 2 14 21" xfId="4363"/>
    <cellStyle name="Normal 2 2 2 2 2 2 14 22" xfId="4364"/>
    <cellStyle name="Normal 2 2 2 2 2 2 14 23" xfId="4365"/>
    <cellStyle name="Normal 2 2 2 2 2 2 14 3" xfId="4366"/>
    <cellStyle name="Normal 2 2 2 2 2 2 14 4" xfId="4367"/>
    <cellStyle name="Normal 2 2 2 2 2 2 14 5" xfId="4368"/>
    <cellStyle name="Normal 2 2 2 2 2 2 14 6" xfId="4369"/>
    <cellStyle name="Normal 2 2 2 2 2 2 14 7" xfId="4370"/>
    <cellStyle name="Normal 2 2 2 2 2 2 14 8" xfId="4371"/>
    <cellStyle name="Normal 2 2 2 2 2 2 14 9" xfId="4372"/>
    <cellStyle name="Normal 2 2 2 2 2 2 15" xfId="4373"/>
    <cellStyle name="Normal 2 2 2 2 2 2 15 10" xfId="4374"/>
    <cellStyle name="Normal 2 2 2 2 2 2 15 11" xfId="4375"/>
    <cellStyle name="Normal 2 2 2 2 2 2 15 12" xfId="4376"/>
    <cellStyle name="Normal 2 2 2 2 2 2 15 13" xfId="4377"/>
    <cellStyle name="Normal 2 2 2 2 2 2 15 14" xfId="4378"/>
    <cellStyle name="Normal 2 2 2 2 2 2 15 15" xfId="4379"/>
    <cellStyle name="Normal 2 2 2 2 2 2 15 16" xfId="4380"/>
    <cellStyle name="Normal 2 2 2 2 2 2 15 17" xfId="4381"/>
    <cellStyle name="Normal 2 2 2 2 2 2 15 18" xfId="4382"/>
    <cellStyle name="Normal 2 2 2 2 2 2 15 19" xfId="4383"/>
    <cellStyle name="Normal 2 2 2 2 2 2 15 2" xfId="4384"/>
    <cellStyle name="Normal 2 2 2 2 2 2 15 20" xfId="4385"/>
    <cellStyle name="Normal 2 2 2 2 2 2 15 21" xfId="4386"/>
    <cellStyle name="Normal 2 2 2 2 2 2 15 22" xfId="4387"/>
    <cellStyle name="Normal 2 2 2 2 2 2 15 23" xfId="4388"/>
    <cellStyle name="Normal 2 2 2 2 2 2 15 3" xfId="4389"/>
    <cellStyle name="Normal 2 2 2 2 2 2 15 4" xfId="4390"/>
    <cellStyle name="Normal 2 2 2 2 2 2 15 5" xfId="4391"/>
    <cellStyle name="Normal 2 2 2 2 2 2 15 6" xfId="4392"/>
    <cellStyle name="Normal 2 2 2 2 2 2 15 7" xfId="4393"/>
    <cellStyle name="Normal 2 2 2 2 2 2 15 8" xfId="4394"/>
    <cellStyle name="Normal 2 2 2 2 2 2 15 9" xfId="4395"/>
    <cellStyle name="Normal 2 2 2 2 2 2 16" xfId="4396"/>
    <cellStyle name="Normal 2 2 2 2 2 2 16 10" xfId="4397"/>
    <cellStyle name="Normal 2 2 2 2 2 2 16 11" xfId="4398"/>
    <cellStyle name="Normal 2 2 2 2 2 2 16 12" xfId="4399"/>
    <cellStyle name="Normal 2 2 2 2 2 2 16 13" xfId="4400"/>
    <cellStyle name="Normal 2 2 2 2 2 2 16 14" xfId="4401"/>
    <cellStyle name="Normal 2 2 2 2 2 2 16 15" xfId="4402"/>
    <cellStyle name="Normal 2 2 2 2 2 2 16 16" xfId="4403"/>
    <cellStyle name="Normal 2 2 2 2 2 2 16 17" xfId="4404"/>
    <cellStyle name="Normal 2 2 2 2 2 2 16 18" xfId="4405"/>
    <cellStyle name="Normal 2 2 2 2 2 2 16 19" xfId="4406"/>
    <cellStyle name="Normal 2 2 2 2 2 2 16 2" xfId="4407"/>
    <cellStyle name="Normal 2 2 2 2 2 2 16 20" xfId="4408"/>
    <cellStyle name="Normal 2 2 2 2 2 2 16 21" xfId="4409"/>
    <cellStyle name="Normal 2 2 2 2 2 2 16 22" xfId="4410"/>
    <cellStyle name="Normal 2 2 2 2 2 2 16 23" xfId="4411"/>
    <cellStyle name="Normal 2 2 2 2 2 2 16 3" xfId="4412"/>
    <cellStyle name="Normal 2 2 2 2 2 2 16 4" xfId="4413"/>
    <cellStyle name="Normal 2 2 2 2 2 2 16 5" xfId="4414"/>
    <cellStyle name="Normal 2 2 2 2 2 2 16 6" xfId="4415"/>
    <cellStyle name="Normal 2 2 2 2 2 2 16 7" xfId="4416"/>
    <cellStyle name="Normal 2 2 2 2 2 2 16 8" xfId="4417"/>
    <cellStyle name="Normal 2 2 2 2 2 2 16 9" xfId="4418"/>
    <cellStyle name="Normal 2 2 2 2 2 2 17" xfId="4419"/>
    <cellStyle name="Normal 2 2 2 2 2 2 17 10" xfId="4420"/>
    <cellStyle name="Normal 2 2 2 2 2 2 17 11" xfId="4421"/>
    <cellStyle name="Normal 2 2 2 2 2 2 17 12" xfId="4422"/>
    <cellStyle name="Normal 2 2 2 2 2 2 17 13" xfId="4423"/>
    <cellStyle name="Normal 2 2 2 2 2 2 17 14" xfId="4424"/>
    <cellStyle name="Normal 2 2 2 2 2 2 17 15" xfId="4425"/>
    <cellStyle name="Normal 2 2 2 2 2 2 17 16" xfId="4426"/>
    <cellStyle name="Normal 2 2 2 2 2 2 17 17" xfId="4427"/>
    <cellStyle name="Normal 2 2 2 2 2 2 17 18" xfId="4428"/>
    <cellStyle name="Normal 2 2 2 2 2 2 17 19" xfId="4429"/>
    <cellStyle name="Normal 2 2 2 2 2 2 17 2" xfId="4430"/>
    <cellStyle name="Normal 2 2 2 2 2 2 17 20" xfId="4431"/>
    <cellStyle name="Normal 2 2 2 2 2 2 17 21" xfId="4432"/>
    <cellStyle name="Normal 2 2 2 2 2 2 17 22" xfId="4433"/>
    <cellStyle name="Normal 2 2 2 2 2 2 17 23" xfId="4434"/>
    <cellStyle name="Normal 2 2 2 2 2 2 17 3" xfId="4435"/>
    <cellStyle name="Normal 2 2 2 2 2 2 17 4" xfId="4436"/>
    <cellStyle name="Normal 2 2 2 2 2 2 17 5" xfId="4437"/>
    <cellStyle name="Normal 2 2 2 2 2 2 17 6" xfId="4438"/>
    <cellStyle name="Normal 2 2 2 2 2 2 17 7" xfId="4439"/>
    <cellStyle name="Normal 2 2 2 2 2 2 17 8" xfId="4440"/>
    <cellStyle name="Normal 2 2 2 2 2 2 17 9" xfId="4441"/>
    <cellStyle name="Normal 2 2 2 2 2 2 18" xfId="4442"/>
    <cellStyle name="Normal 2 2 2 2 2 2 18 2" xfId="4443"/>
    <cellStyle name="Normal 2 2 2 2 2 2 19" xfId="4444"/>
    <cellStyle name="Normal 2 2 2 2 2 2 19 2" xfId="4445"/>
    <cellStyle name="Normal 2 2 2 2 2 2 2" xfId="4446"/>
    <cellStyle name="Normal 2 2 2 2 2 2 2 10" xfId="4447"/>
    <cellStyle name="Normal 2 2 2 2 2 2 2 10 2" xfId="4448"/>
    <cellStyle name="Normal 2 2 2 2 2 2 2 11" xfId="4449"/>
    <cellStyle name="Normal 2 2 2 2 2 2 2 11 2" xfId="4450"/>
    <cellStyle name="Normal 2 2 2 2 2 2 2 12" xfId="4451"/>
    <cellStyle name="Normal 2 2 2 2 2 2 2 12 2" xfId="4452"/>
    <cellStyle name="Normal 2 2 2 2 2 2 2 13" xfId="4453"/>
    <cellStyle name="Normal 2 2 2 2 2 2 2 13 2" xfId="4454"/>
    <cellStyle name="Normal 2 2 2 2 2 2 2 14" xfId="4455"/>
    <cellStyle name="Normal 2 2 2 2 2 2 2 14 2" xfId="4456"/>
    <cellStyle name="Normal 2 2 2 2 2 2 2 15" xfId="4457"/>
    <cellStyle name="Normal 2 2 2 2 2 2 2 15 2" xfId="4458"/>
    <cellStyle name="Normal 2 2 2 2 2 2 2 16" xfId="4459"/>
    <cellStyle name="Normal 2 2 2 2 2 2 2 16 2" xfId="4460"/>
    <cellStyle name="Normal 2 2 2 2 2 2 2 17" xfId="4461"/>
    <cellStyle name="Normal 2 2 2 2 2 2 2 17 2" xfId="4462"/>
    <cellStyle name="Normal 2 2 2 2 2 2 2 18" xfId="4463"/>
    <cellStyle name="Normal 2 2 2 2 2 2 2 18 2" xfId="4464"/>
    <cellStyle name="Normal 2 2 2 2 2 2 2 19" xfId="4465"/>
    <cellStyle name="Normal 2 2 2 2 2 2 2 19 2" xfId="4466"/>
    <cellStyle name="Normal 2 2 2 2 2 2 2 2" xfId="4467"/>
    <cellStyle name="Normal 2 2 2 2 2 2 2 2 10" xfId="4468"/>
    <cellStyle name="Normal 2 2 2 2 2 2 2 2 10 2" xfId="4469"/>
    <cellStyle name="Normal 2 2 2 2 2 2 2 2 11" xfId="4470"/>
    <cellStyle name="Normal 2 2 2 2 2 2 2 2 11 2" xfId="4471"/>
    <cellStyle name="Normal 2 2 2 2 2 2 2 2 12" xfId="4472"/>
    <cellStyle name="Normal 2 2 2 2 2 2 2 2 12 2" xfId="4473"/>
    <cellStyle name="Normal 2 2 2 2 2 2 2 2 13" xfId="4474"/>
    <cellStyle name="Normal 2 2 2 2 2 2 2 2 13 2" xfId="4475"/>
    <cellStyle name="Normal 2 2 2 2 2 2 2 2 14" xfId="4476"/>
    <cellStyle name="Normal 2 2 2 2 2 2 2 2 14 2" xfId="4477"/>
    <cellStyle name="Normal 2 2 2 2 2 2 2 2 15" xfId="4478"/>
    <cellStyle name="Normal 2 2 2 2 2 2 2 2 15 2" xfId="4479"/>
    <cellStyle name="Normal 2 2 2 2 2 2 2 2 16" xfId="4480"/>
    <cellStyle name="Normal 2 2 2 2 2 2 2 2 16 2" xfId="4481"/>
    <cellStyle name="Normal 2 2 2 2 2 2 2 2 17" xfId="4482"/>
    <cellStyle name="Normal 2 2 2 2 2 2 2 2 17 2" xfId="4483"/>
    <cellStyle name="Normal 2 2 2 2 2 2 2 2 18" xfId="4484"/>
    <cellStyle name="Normal 2 2 2 2 2 2 2 2 18 2" xfId="4485"/>
    <cellStyle name="Normal 2 2 2 2 2 2 2 2 19" xfId="4486"/>
    <cellStyle name="Normal 2 2 2 2 2 2 2 2 19 2" xfId="4487"/>
    <cellStyle name="Normal 2 2 2 2 2 2 2 2 2" xfId="4488"/>
    <cellStyle name="Normal 2 2 2 2 2 2 2 2 2 10" xfId="4489"/>
    <cellStyle name="Normal 2 2 2 2 2 2 2 2 2 11" xfId="4490"/>
    <cellStyle name="Normal 2 2 2 2 2 2 2 2 2 12" xfId="4491"/>
    <cellStyle name="Normal 2 2 2 2 2 2 2 2 2 13" xfId="4492"/>
    <cellStyle name="Normal 2 2 2 2 2 2 2 2 2 14" xfId="4493"/>
    <cellStyle name="Normal 2 2 2 2 2 2 2 2 2 15" xfId="4494"/>
    <cellStyle name="Normal 2 2 2 2 2 2 2 2 2 16" xfId="4495"/>
    <cellStyle name="Normal 2 2 2 2 2 2 2 2 2 17" xfId="4496"/>
    <cellStyle name="Normal 2 2 2 2 2 2 2 2 2 18" xfId="4497"/>
    <cellStyle name="Normal 2 2 2 2 2 2 2 2 2 19" xfId="4498"/>
    <cellStyle name="Normal 2 2 2 2 2 2 2 2 2 2" xfId="4499"/>
    <cellStyle name="Normal 2 2 2 2 2 2 2 2 2 2 2" xfId="4500"/>
    <cellStyle name="Normal 2 2 2 2 2 2 2 2 2 20" xfId="4501"/>
    <cellStyle name="Normal 2 2 2 2 2 2 2 2 2 21" xfId="4502"/>
    <cellStyle name="Normal 2 2 2 2 2 2 2 2 2 22" xfId="4503"/>
    <cellStyle name="Normal 2 2 2 2 2 2 2 2 2 3" xfId="4504"/>
    <cellStyle name="Normal 2 2 2 2 2 2 2 2 2 4" xfId="4505"/>
    <cellStyle name="Normal 2 2 2 2 2 2 2 2 2 5" xfId="4506"/>
    <cellStyle name="Normal 2 2 2 2 2 2 2 2 2 6" xfId="4507"/>
    <cellStyle name="Normal 2 2 2 2 2 2 2 2 2 7" xfId="4508"/>
    <cellStyle name="Normal 2 2 2 2 2 2 2 2 2 8" xfId="4509"/>
    <cellStyle name="Normal 2 2 2 2 2 2 2 2 2 9" xfId="4510"/>
    <cellStyle name="Normal 2 2 2 2 2 2 2 2 20" xfId="4511"/>
    <cellStyle name="Normal 2 2 2 2 2 2 2 2 20 2" xfId="4512"/>
    <cellStyle name="Normal 2 2 2 2 2 2 2 2 21" xfId="4513"/>
    <cellStyle name="Normal 2 2 2 2 2 2 2 2 21 2" xfId="4514"/>
    <cellStyle name="Normal 2 2 2 2 2 2 2 2 22" xfId="4515"/>
    <cellStyle name="Normal 2 2 2 2 2 2 2 2 22 2" xfId="4516"/>
    <cellStyle name="Normal 2 2 2 2 2 2 2 2 23" xfId="4517"/>
    <cellStyle name="Normal 2 2 2 2 2 2 2 2 23 2" xfId="4518"/>
    <cellStyle name="Normal 2 2 2 2 2 2 2 2 24" xfId="4519"/>
    <cellStyle name="Normal 2 2 2 2 2 2 2 2 24 2" xfId="4520"/>
    <cellStyle name="Normal 2 2 2 2 2 2 2 2 25" xfId="4521"/>
    <cellStyle name="Normal 2 2 2 2 2 2 2 2 26" xfId="4522"/>
    <cellStyle name="Normal 2 2 2 2 2 2 2 2 27" xfId="4523"/>
    <cellStyle name="Normal 2 2 2 2 2 2 2 2 28" xfId="4524"/>
    <cellStyle name="Normal 2 2 2 2 2 2 2 2 29" xfId="4525"/>
    <cellStyle name="Normal 2 2 2 2 2 2 2 2 3" xfId="4526"/>
    <cellStyle name="Normal 2 2 2 2 2 2 2 2 4" xfId="4527"/>
    <cellStyle name="Normal 2 2 2 2 2 2 2 2 5" xfId="4528"/>
    <cellStyle name="Normal 2 2 2 2 2 2 2 2 6" xfId="4529"/>
    <cellStyle name="Normal 2 2 2 2 2 2 2 2 7" xfId="4530"/>
    <cellStyle name="Normal 2 2 2 2 2 2 2 2 8" xfId="4531"/>
    <cellStyle name="Normal 2 2 2 2 2 2 2 2 9" xfId="4532"/>
    <cellStyle name="Normal 2 2 2 2 2 2 2 20" xfId="4533"/>
    <cellStyle name="Normal 2 2 2 2 2 2 2 20 2" xfId="4534"/>
    <cellStyle name="Normal 2 2 2 2 2 2 2 21" xfId="4535"/>
    <cellStyle name="Normal 2 2 2 2 2 2 2 21 2" xfId="4536"/>
    <cellStyle name="Normal 2 2 2 2 2 2 2 22" xfId="4537"/>
    <cellStyle name="Normal 2 2 2 2 2 2 2 22 2" xfId="4538"/>
    <cellStyle name="Normal 2 2 2 2 2 2 2 23" xfId="4539"/>
    <cellStyle name="Normal 2 2 2 2 2 2 2 23 2" xfId="4540"/>
    <cellStyle name="Normal 2 2 2 2 2 2 2 24" xfId="4541"/>
    <cellStyle name="Normal 2 2 2 2 2 2 2 24 2" xfId="4542"/>
    <cellStyle name="Normal 2 2 2 2 2 2 2 25" xfId="4543"/>
    <cellStyle name="Normal 2 2 2 2 2 2 2 26" xfId="4544"/>
    <cellStyle name="Normal 2 2 2 2 2 2 2 27" xfId="4545"/>
    <cellStyle name="Normal 2 2 2 2 2 2 2 28" xfId="4546"/>
    <cellStyle name="Normal 2 2 2 2 2 2 2 29" xfId="4547"/>
    <cellStyle name="Normal 2 2 2 2 2 2 2 3" xfId="4548"/>
    <cellStyle name="Normal 2 2 2 2 2 2 2 3 10" xfId="4549"/>
    <cellStyle name="Normal 2 2 2 2 2 2 2 3 11" xfId="4550"/>
    <cellStyle name="Normal 2 2 2 2 2 2 2 3 12" xfId="4551"/>
    <cellStyle name="Normal 2 2 2 2 2 2 2 3 13" xfId="4552"/>
    <cellStyle name="Normal 2 2 2 2 2 2 2 3 14" xfId="4553"/>
    <cellStyle name="Normal 2 2 2 2 2 2 2 3 15" xfId="4554"/>
    <cellStyle name="Normal 2 2 2 2 2 2 2 3 16" xfId="4555"/>
    <cellStyle name="Normal 2 2 2 2 2 2 2 3 17" xfId="4556"/>
    <cellStyle name="Normal 2 2 2 2 2 2 2 3 18" xfId="4557"/>
    <cellStyle name="Normal 2 2 2 2 2 2 2 3 19" xfId="4558"/>
    <cellStyle name="Normal 2 2 2 2 2 2 2 3 2" xfId="4559"/>
    <cellStyle name="Normal 2 2 2 2 2 2 2 3 20" xfId="4560"/>
    <cellStyle name="Normal 2 2 2 2 2 2 2 3 21" xfId="4561"/>
    <cellStyle name="Normal 2 2 2 2 2 2 2 3 22" xfId="4562"/>
    <cellStyle name="Normal 2 2 2 2 2 2 2 3 23" xfId="4563"/>
    <cellStyle name="Normal 2 2 2 2 2 2 2 3 3" xfId="4564"/>
    <cellStyle name="Normal 2 2 2 2 2 2 2 3 4" xfId="4565"/>
    <cellStyle name="Normal 2 2 2 2 2 2 2 3 5" xfId="4566"/>
    <cellStyle name="Normal 2 2 2 2 2 2 2 3 6" xfId="4567"/>
    <cellStyle name="Normal 2 2 2 2 2 2 2 3 7" xfId="4568"/>
    <cellStyle name="Normal 2 2 2 2 2 2 2 3 8" xfId="4569"/>
    <cellStyle name="Normal 2 2 2 2 2 2 2 3 9" xfId="4570"/>
    <cellStyle name="Normal 2 2 2 2 2 2 2 30" xfId="4571"/>
    <cellStyle name="Normal 2 2 2 2 2 2 2 31" xfId="4572"/>
    <cellStyle name="Normal 2 2 2 2 2 2 2 4" xfId="4573"/>
    <cellStyle name="Normal 2 2 2 2 2 2 2 4 10" xfId="4574"/>
    <cellStyle name="Normal 2 2 2 2 2 2 2 4 11" xfId="4575"/>
    <cellStyle name="Normal 2 2 2 2 2 2 2 4 12" xfId="4576"/>
    <cellStyle name="Normal 2 2 2 2 2 2 2 4 13" xfId="4577"/>
    <cellStyle name="Normal 2 2 2 2 2 2 2 4 14" xfId="4578"/>
    <cellStyle name="Normal 2 2 2 2 2 2 2 4 15" xfId="4579"/>
    <cellStyle name="Normal 2 2 2 2 2 2 2 4 16" xfId="4580"/>
    <cellStyle name="Normal 2 2 2 2 2 2 2 4 17" xfId="4581"/>
    <cellStyle name="Normal 2 2 2 2 2 2 2 4 18" xfId="4582"/>
    <cellStyle name="Normal 2 2 2 2 2 2 2 4 19" xfId="4583"/>
    <cellStyle name="Normal 2 2 2 2 2 2 2 4 2" xfId="4584"/>
    <cellStyle name="Normal 2 2 2 2 2 2 2 4 20" xfId="4585"/>
    <cellStyle name="Normal 2 2 2 2 2 2 2 4 21" xfId="4586"/>
    <cellStyle name="Normal 2 2 2 2 2 2 2 4 22" xfId="4587"/>
    <cellStyle name="Normal 2 2 2 2 2 2 2 4 23" xfId="4588"/>
    <cellStyle name="Normal 2 2 2 2 2 2 2 4 3" xfId="4589"/>
    <cellStyle name="Normal 2 2 2 2 2 2 2 4 4" xfId="4590"/>
    <cellStyle name="Normal 2 2 2 2 2 2 2 4 5" xfId="4591"/>
    <cellStyle name="Normal 2 2 2 2 2 2 2 4 6" xfId="4592"/>
    <cellStyle name="Normal 2 2 2 2 2 2 2 4 7" xfId="4593"/>
    <cellStyle name="Normal 2 2 2 2 2 2 2 4 8" xfId="4594"/>
    <cellStyle name="Normal 2 2 2 2 2 2 2 4 9" xfId="4595"/>
    <cellStyle name="Normal 2 2 2 2 2 2 2 5" xfId="4596"/>
    <cellStyle name="Normal 2 2 2 2 2 2 2 5 10" xfId="4597"/>
    <cellStyle name="Normal 2 2 2 2 2 2 2 5 11" xfId="4598"/>
    <cellStyle name="Normal 2 2 2 2 2 2 2 5 12" xfId="4599"/>
    <cellStyle name="Normal 2 2 2 2 2 2 2 5 13" xfId="4600"/>
    <cellStyle name="Normal 2 2 2 2 2 2 2 5 14" xfId="4601"/>
    <cellStyle name="Normal 2 2 2 2 2 2 2 5 15" xfId="4602"/>
    <cellStyle name="Normal 2 2 2 2 2 2 2 5 16" xfId="4603"/>
    <cellStyle name="Normal 2 2 2 2 2 2 2 5 17" xfId="4604"/>
    <cellStyle name="Normal 2 2 2 2 2 2 2 5 18" xfId="4605"/>
    <cellStyle name="Normal 2 2 2 2 2 2 2 5 19" xfId="4606"/>
    <cellStyle name="Normal 2 2 2 2 2 2 2 5 2" xfId="4607"/>
    <cellStyle name="Normal 2 2 2 2 2 2 2 5 20" xfId="4608"/>
    <cellStyle name="Normal 2 2 2 2 2 2 2 5 21" xfId="4609"/>
    <cellStyle name="Normal 2 2 2 2 2 2 2 5 22" xfId="4610"/>
    <cellStyle name="Normal 2 2 2 2 2 2 2 5 23" xfId="4611"/>
    <cellStyle name="Normal 2 2 2 2 2 2 2 5 3" xfId="4612"/>
    <cellStyle name="Normal 2 2 2 2 2 2 2 5 4" xfId="4613"/>
    <cellStyle name="Normal 2 2 2 2 2 2 2 5 5" xfId="4614"/>
    <cellStyle name="Normal 2 2 2 2 2 2 2 5 6" xfId="4615"/>
    <cellStyle name="Normal 2 2 2 2 2 2 2 5 7" xfId="4616"/>
    <cellStyle name="Normal 2 2 2 2 2 2 2 5 8" xfId="4617"/>
    <cellStyle name="Normal 2 2 2 2 2 2 2 5 9" xfId="4618"/>
    <cellStyle name="Normal 2 2 2 2 2 2 2 6" xfId="4619"/>
    <cellStyle name="Normal 2 2 2 2 2 2 2 6 10" xfId="4620"/>
    <cellStyle name="Normal 2 2 2 2 2 2 2 6 11" xfId="4621"/>
    <cellStyle name="Normal 2 2 2 2 2 2 2 6 12" xfId="4622"/>
    <cellStyle name="Normal 2 2 2 2 2 2 2 6 13" xfId="4623"/>
    <cellStyle name="Normal 2 2 2 2 2 2 2 6 14" xfId="4624"/>
    <cellStyle name="Normal 2 2 2 2 2 2 2 6 15" xfId="4625"/>
    <cellStyle name="Normal 2 2 2 2 2 2 2 6 16" xfId="4626"/>
    <cellStyle name="Normal 2 2 2 2 2 2 2 6 17" xfId="4627"/>
    <cellStyle name="Normal 2 2 2 2 2 2 2 6 18" xfId="4628"/>
    <cellStyle name="Normal 2 2 2 2 2 2 2 6 19" xfId="4629"/>
    <cellStyle name="Normal 2 2 2 2 2 2 2 6 2" xfId="4630"/>
    <cellStyle name="Normal 2 2 2 2 2 2 2 6 20" xfId="4631"/>
    <cellStyle name="Normal 2 2 2 2 2 2 2 6 21" xfId="4632"/>
    <cellStyle name="Normal 2 2 2 2 2 2 2 6 22" xfId="4633"/>
    <cellStyle name="Normal 2 2 2 2 2 2 2 6 23" xfId="4634"/>
    <cellStyle name="Normal 2 2 2 2 2 2 2 6 3" xfId="4635"/>
    <cellStyle name="Normal 2 2 2 2 2 2 2 6 4" xfId="4636"/>
    <cellStyle name="Normal 2 2 2 2 2 2 2 6 5" xfId="4637"/>
    <cellStyle name="Normal 2 2 2 2 2 2 2 6 6" xfId="4638"/>
    <cellStyle name="Normal 2 2 2 2 2 2 2 6 7" xfId="4639"/>
    <cellStyle name="Normal 2 2 2 2 2 2 2 6 8" xfId="4640"/>
    <cellStyle name="Normal 2 2 2 2 2 2 2 6 9" xfId="4641"/>
    <cellStyle name="Normal 2 2 2 2 2 2 2 7" xfId="4642"/>
    <cellStyle name="Normal 2 2 2 2 2 2 2 7 10" xfId="4643"/>
    <cellStyle name="Normal 2 2 2 2 2 2 2 7 11" xfId="4644"/>
    <cellStyle name="Normal 2 2 2 2 2 2 2 7 12" xfId="4645"/>
    <cellStyle name="Normal 2 2 2 2 2 2 2 7 13" xfId="4646"/>
    <cellStyle name="Normal 2 2 2 2 2 2 2 7 14" xfId="4647"/>
    <cellStyle name="Normal 2 2 2 2 2 2 2 7 15" xfId="4648"/>
    <cellStyle name="Normal 2 2 2 2 2 2 2 7 16" xfId="4649"/>
    <cellStyle name="Normal 2 2 2 2 2 2 2 7 17" xfId="4650"/>
    <cellStyle name="Normal 2 2 2 2 2 2 2 7 18" xfId="4651"/>
    <cellStyle name="Normal 2 2 2 2 2 2 2 7 19" xfId="4652"/>
    <cellStyle name="Normal 2 2 2 2 2 2 2 7 2" xfId="4653"/>
    <cellStyle name="Normal 2 2 2 2 2 2 2 7 20" xfId="4654"/>
    <cellStyle name="Normal 2 2 2 2 2 2 2 7 21" xfId="4655"/>
    <cellStyle name="Normal 2 2 2 2 2 2 2 7 22" xfId="4656"/>
    <cellStyle name="Normal 2 2 2 2 2 2 2 7 23" xfId="4657"/>
    <cellStyle name="Normal 2 2 2 2 2 2 2 7 3" xfId="4658"/>
    <cellStyle name="Normal 2 2 2 2 2 2 2 7 4" xfId="4659"/>
    <cellStyle name="Normal 2 2 2 2 2 2 2 7 5" xfId="4660"/>
    <cellStyle name="Normal 2 2 2 2 2 2 2 7 6" xfId="4661"/>
    <cellStyle name="Normal 2 2 2 2 2 2 2 7 7" xfId="4662"/>
    <cellStyle name="Normal 2 2 2 2 2 2 2 7 8" xfId="4663"/>
    <cellStyle name="Normal 2 2 2 2 2 2 2 7 9" xfId="4664"/>
    <cellStyle name="Normal 2 2 2 2 2 2 2 8" xfId="4665"/>
    <cellStyle name="Normal 2 2 2 2 2 2 2 8 10" xfId="4666"/>
    <cellStyle name="Normal 2 2 2 2 2 2 2 8 11" xfId="4667"/>
    <cellStyle name="Normal 2 2 2 2 2 2 2 8 12" xfId="4668"/>
    <cellStyle name="Normal 2 2 2 2 2 2 2 8 13" xfId="4669"/>
    <cellStyle name="Normal 2 2 2 2 2 2 2 8 14" xfId="4670"/>
    <cellStyle name="Normal 2 2 2 2 2 2 2 8 15" xfId="4671"/>
    <cellStyle name="Normal 2 2 2 2 2 2 2 8 16" xfId="4672"/>
    <cellStyle name="Normal 2 2 2 2 2 2 2 8 17" xfId="4673"/>
    <cellStyle name="Normal 2 2 2 2 2 2 2 8 18" xfId="4674"/>
    <cellStyle name="Normal 2 2 2 2 2 2 2 8 19" xfId="4675"/>
    <cellStyle name="Normal 2 2 2 2 2 2 2 8 2" xfId="4676"/>
    <cellStyle name="Normal 2 2 2 2 2 2 2 8 20" xfId="4677"/>
    <cellStyle name="Normal 2 2 2 2 2 2 2 8 21" xfId="4678"/>
    <cellStyle name="Normal 2 2 2 2 2 2 2 8 22" xfId="4679"/>
    <cellStyle name="Normal 2 2 2 2 2 2 2 8 23" xfId="4680"/>
    <cellStyle name="Normal 2 2 2 2 2 2 2 8 3" xfId="4681"/>
    <cellStyle name="Normal 2 2 2 2 2 2 2 8 4" xfId="4682"/>
    <cellStyle name="Normal 2 2 2 2 2 2 2 8 5" xfId="4683"/>
    <cellStyle name="Normal 2 2 2 2 2 2 2 8 6" xfId="4684"/>
    <cellStyle name="Normal 2 2 2 2 2 2 2 8 7" xfId="4685"/>
    <cellStyle name="Normal 2 2 2 2 2 2 2 8 8" xfId="4686"/>
    <cellStyle name="Normal 2 2 2 2 2 2 2 8 9" xfId="4687"/>
    <cellStyle name="Normal 2 2 2 2 2 2 2 9" xfId="4688"/>
    <cellStyle name="Normal 2 2 2 2 2 2 2 9 10" xfId="4689"/>
    <cellStyle name="Normal 2 2 2 2 2 2 2 9 11" xfId="4690"/>
    <cellStyle name="Normal 2 2 2 2 2 2 2 9 12" xfId="4691"/>
    <cellStyle name="Normal 2 2 2 2 2 2 2 9 13" xfId="4692"/>
    <cellStyle name="Normal 2 2 2 2 2 2 2 9 14" xfId="4693"/>
    <cellStyle name="Normal 2 2 2 2 2 2 2 9 15" xfId="4694"/>
    <cellStyle name="Normal 2 2 2 2 2 2 2 9 16" xfId="4695"/>
    <cellStyle name="Normal 2 2 2 2 2 2 2 9 17" xfId="4696"/>
    <cellStyle name="Normal 2 2 2 2 2 2 2 9 18" xfId="4697"/>
    <cellStyle name="Normal 2 2 2 2 2 2 2 9 19" xfId="4698"/>
    <cellStyle name="Normal 2 2 2 2 2 2 2 9 2" xfId="4699"/>
    <cellStyle name="Normal 2 2 2 2 2 2 2 9 20" xfId="4700"/>
    <cellStyle name="Normal 2 2 2 2 2 2 2 9 21" xfId="4701"/>
    <cellStyle name="Normal 2 2 2 2 2 2 2 9 22" xfId="4702"/>
    <cellStyle name="Normal 2 2 2 2 2 2 2 9 23" xfId="4703"/>
    <cellStyle name="Normal 2 2 2 2 2 2 2 9 3" xfId="4704"/>
    <cellStyle name="Normal 2 2 2 2 2 2 2 9 4" xfId="4705"/>
    <cellStyle name="Normal 2 2 2 2 2 2 2 9 5" xfId="4706"/>
    <cellStyle name="Normal 2 2 2 2 2 2 2 9 6" xfId="4707"/>
    <cellStyle name="Normal 2 2 2 2 2 2 2 9 7" xfId="4708"/>
    <cellStyle name="Normal 2 2 2 2 2 2 2 9 8" xfId="4709"/>
    <cellStyle name="Normal 2 2 2 2 2 2 2 9 9" xfId="4710"/>
    <cellStyle name="Normal 2 2 2 2 2 2 20" xfId="4711"/>
    <cellStyle name="Normal 2 2 2 2 2 2 20 2" xfId="4712"/>
    <cellStyle name="Normal 2 2 2 2 2 2 21" xfId="4713"/>
    <cellStyle name="Normal 2 2 2 2 2 2 21 2" xfId="4714"/>
    <cellStyle name="Normal 2 2 2 2 2 2 22" xfId="4715"/>
    <cellStyle name="Normal 2 2 2 2 2 2 22 2" xfId="4716"/>
    <cellStyle name="Normal 2 2 2 2 2 2 23" xfId="4717"/>
    <cellStyle name="Normal 2 2 2 2 2 2 23 2" xfId="4718"/>
    <cellStyle name="Normal 2 2 2 2 2 2 24" xfId="4719"/>
    <cellStyle name="Normal 2 2 2 2 2 2 24 2" xfId="4720"/>
    <cellStyle name="Normal 2 2 2 2 2 2 25" xfId="4721"/>
    <cellStyle name="Normal 2 2 2 2 2 2 25 2" xfId="4722"/>
    <cellStyle name="Normal 2 2 2 2 2 2 26" xfId="4723"/>
    <cellStyle name="Normal 2 2 2 2 2 2 26 2" xfId="4724"/>
    <cellStyle name="Normal 2 2 2 2 2 2 27" xfId="4725"/>
    <cellStyle name="Normal 2 2 2 2 2 2 27 2" xfId="4726"/>
    <cellStyle name="Normal 2 2 2 2 2 2 28" xfId="4727"/>
    <cellStyle name="Normal 2 2 2 2 2 2 28 2" xfId="4728"/>
    <cellStyle name="Normal 2 2 2 2 2 2 29" xfId="4729"/>
    <cellStyle name="Normal 2 2 2 2 2 2 29 2" xfId="4730"/>
    <cellStyle name="Normal 2 2 2 2 2 2 3" xfId="4731"/>
    <cellStyle name="Normal 2 2 2 2 2 2 30" xfId="4732"/>
    <cellStyle name="Normal 2 2 2 2 2 2 30 2" xfId="4733"/>
    <cellStyle name="Normal 2 2 2 2 2 2 31" xfId="4734"/>
    <cellStyle name="Normal 2 2 2 2 2 2 31 2" xfId="4735"/>
    <cellStyle name="Normal 2 2 2 2 2 2 32" xfId="4736"/>
    <cellStyle name="Normal 2 2 2 2 2 2 32 2" xfId="4737"/>
    <cellStyle name="Normal 2 2 2 2 2 2 33" xfId="4738"/>
    <cellStyle name="Normal 2 2 2 2 2 2 34" xfId="4739"/>
    <cellStyle name="Normal 2 2 2 2 2 2 35" xfId="4740"/>
    <cellStyle name="Normal 2 2 2 2 2 2 36" xfId="4741"/>
    <cellStyle name="Normal 2 2 2 2 2 2 37" xfId="4742"/>
    <cellStyle name="Normal 2 2 2 2 2 2 38" xfId="4743"/>
    <cellStyle name="Normal 2 2 2 2 2 2 4" xfId="4744"/>
    <cellStyle name="Normal 2 2 2 2 2 2 5" xfId="4745"/>
    <cellStyle name="Normal 2 2 2 2 2 2 6" xfId="4746"/>
    <cellStyle name="Normal 2 2 2 2 2 2 7" xfId="4747"/>
    <cellStyle name="Normal 2 2 2 2 2 2 8" xfId="4748"/>
    <cellStyle name="Normal 2 2 2 2 2 2 9" xfId="4749"/>
    <cellStyle name="Normal 2 2 2 2 2 20" xfId="4750"/>
    <cellStyle name="Normal 2 2 2 2 2 20 2" xfId="4751"/>
    <cellStyle name="Normal 2 2 2 2 2 21" xfId="4752"/>
    <cellStyle name="Normal 2 2 2 2 2 21 2" xfId="4753"/>
    <cellStyle name="Normal 2 2 2 2 2 22" xfId="4754"/>
    <cellStyle name="Normal 2 2 2 2 2 22 2" xfId="4755"/>
    <cellStyle name="Normal 2 2 2 2 2 23" xfId="4756"/>
    <cellStyle name="Normal 2 2 2 2 2 23 2" xfId="4757"/>
    <cellStyle name="Normal 2 2 2 2 2 24" xfId="4758"/>
    <cellStyle name="Normal 2 2 2 2 2 24 2" xfId="4759"/>
    <cellStyle name="Normal 2 2 2 2 2 25" xfId="4760"/>
    <cellStyle name="Normal 2 2 2 2 2 25 2" xfId="4761"/>
    <cellStyle name="Normal 2 2 2 2 2 26" xfId="4762"/>
    <cellStyle name="Normal 2 2 2 2 2 26 2" xfId="4763"/>
    <cellStyle name="Normal 2 2 2 2 2 27" xfId="4764"/>
    <cellStyle name="Normal 2 2 2 2 2 27 2" xfId="4765"/>
    <cellStyle name="Normal 2 2 2 2 2 28" xfId="4766"/>
    <cellStyle name="Normal 2 2 2 2 2 28 2" xfId="4767"/>
    <cellStyle name="Normal 2 2 2 2 2 29" xfId="4768"/>
    <cellStyle name="Normal 2 2 2 2 2 29 2" xfId="4769"/>
    <cellStyle name="Normal 2 2 2 2 2 3" xfId="4770"/>
    <cellStyle name="Normal 2 2 2 2 2 3 10" xfId="4771"/>
    <cellStyle name="Normal 2 2 2 2 2 3 11" xfId="4772"/>
    <cellStyle name="Normal 2 2 2 2 2 3 12" xfId="4773"/>
    <cellStyle name="Normal 2 2 2 2 2 3 13" xfId="4774"/>
    <cellStyle name="Normal 2 2 2 2 2 3 14" xfId="4775"/>
    <cellStyle name="Normal 2 2 2 2 2 3 15" xfId="4776"/>
    <cellStyle name="Normal 2 2 2 2 2 3 16" xfId="4777"/>
    <cellStyle name="Normal 2 2 2 2 2 3 17" xfId="4778"/>
    <cellStyle name="Normal 2 2 2 2 2 3 18" xfId="4779"/>
    <cellStyle name="Normal 2 2 2 2 2 3 19" xfId="4780"/>
    <cellStyle name="Normal 2 2 2 2 2 3 2" xfId="4781"/>
    <cellStyle name="Normal 2 2 2 2 2 3 2 10" xfId="4782"/>
    <cellStyle name="Normal 2 2 2 2 2 3 2 11" xfId="4783"/>
    <cellStyle name="Normal 2 2 2 2 2 3 2 12" xfId="4784"/>
    <cellStyle name="Normal 2 2 2 2 2 3 2 13" xfId="4785"/>
    <cellStyle name="Normal 2 2 2 2 2 3 2 14" xfId="4786"/>
    <cellStyle name="Normal 2 2 2 2 2 3 2 15" xfId="4787"/>
    <cellStyle name="Normal 2 2 2 2 2 3 2 16" xfId="4788"/>
    <cellStyle name="Normal 2 2 2 2 2 3 2 17" xfId="4789"/>
    <cellStyle name="Normal 2 2 2 2 2 3 2 18" xfId="4790"/>
    <cellStyle name="Normal 2 2 2 2 2 3 2 19" xfId="4791"/>
    <cellStyle name="Normal 2 2 2 2 2 3 2 2" xfId="4792"/>
    <cellStyle name="Normal 2 2 2 2 2 3 2 20" xfId="4793"/>
    <cellStyle name="Normal 2 2 2 2 2 3 2 21" xfId="4794"/>
    <cellStyle name="Normal 2 2 2 2 2 3 2 22" xfId="4795"/>
    <cellStyle name="Normal 2 2 2 2 2 3 2 23" xfId="4796"/>
    <cellStyle name="Normal 2 2 2 2 2 3 2 24" xfId="4797"/>
    <cellStyle name="Normal 2 2 2 2 2 3 2 3" xfId="4798"/>
    <cellStyle name="Normal 2 2 2 2 2 3 2 4" xfId="4799"/>
    <cellStyle name="Normal 2 2 2 2 2 3 2 5" xfId="4800"/>
    <cellStyle name="Normal 2 2 2 2 2 3 2 6" xfId="4801"/>
    <cellStyle name="Normal 2 2 2 2 2 3 2 7" xfId="4802"/>
    <cellStyle name="Normal 2 2 2 2 2 3 2 8" xfId="4803"/>
    <cellStyle name="Normal 2 2 2 2 2 3 2 9" xfId="4804"/>
    <cellStyle name="Normal 2 2 2 2 2 3 20" xfId="4805"/>
    <cellStyle name="Normal 2 2 2 2 2 3 21" xfId="4806"/>
    <cellStyle name="Normal 2 2 2 2 2 3 22" xfId="4807"/>
    <cellStyle name="Normal 2 2 2 2 2 3 23" xfId="4808"/>
    <cellStyle name="Normal 2 2 2 2 2 3 3" xfId="4809"/>
    <cellStyle name="Normal 2 2 2 2 2 3 4" xfId="4810"/>
    <cellStyle name="Normal 2 2 2 2 2 3 5" xfId="4811"/>
    <cellStyle name="Normal 2 2 2 2 2 3 6" xfId="4812"/>
    <cellStyle name="Normal 2 2 2 2 2 3 7" xfId="4813"/>
    <cellStyle name="Normal 2 2 2 2 2 3 8" xfId="4814"/>
    <cellStyle name="Normal 2 2 2 2 2 3 9" xfId="4815"/>
    <cellStyle name="Normal 2 2 2 2 2 30" xfId="4816"/>
    <cellStyle name="Normal 2 2 2 2 2 30 2" xfId="4817"/>
    <cellStyle name="Normal 2 2 2 2 2 31" xfId="4818"/>
    <cellStyle name="Normal 2 2 2 2 2 31 2" xfId="4819"/>
    <cellStyle name="Normal 2 2 2 2 2 32" xfId="4820"/>
    <cellStyle name="Normal 2 2 2 2 2 32 2" xfId="4821"/>
    <cellStyle name="Normal 2 2 2 2 2 33" xfId="4822"/>
    <cellStyle name="Normal 2 2 2 2 2 34" xfId="4823"/>
    <cellStyle name="Normal 2 2 2 2 2 35" xfId="4824"/>
    <cellStyle name="Normal 2 2 2 2 2 36" xfId="4825"/>
    <cellStyle name="Normal 2 2 2 2 2 37" xfId="4826"/>
    <cellStyle name="Normal 2 2 2 2 2 38" xfId="4827"/>
    <cellStyle name="Normal 2 2 2 2 2 4" xfId="4828"/>
    <cellStyle name="Normal 2 2 2 2 2 5" xfId="4829"/>
    <cellStyle name="Normal 2 2 2 2 2 6" xfId="4830"/>
    <cellStyle name="Normal 2 2 2 2 2 7" xfId="4831"/>
    <cellStyle name="Normal 2 2 2 2 2 8" xfId="4832"/>
    <cellStyle name="Normal 2 2 2 2 2 9" xfId="4833"/>
    <cellStyle name="Normal 2 2 2 2 20" xfId="4834"/>
    <cellStyle name="Normal 2 2 2 2 20 2" xfId="4835"/>
    <cellStyle name="Normal 2 2 2 2 21" xfId="4836"/>
    <cellStyle name="Normal 2 2 2 2 21 2" xfId="4837"/>
    <cellStyle name="Normal 2 2 2 2 22" xfId="4838"/>
    <cellStyle name="Normal 2 2 2 2 22 2" xfId="4839"/>
    <cellStyle name="Normal 2 2 2 2 23" xfId="4840"/>
    <cellStyle name="Normal 2 2 2 2 23 2" xfId="4841"/>
    <cellStyle name="Normal 2 2 2 2 24" xfId="4842"/>
    <cellStyle name="Normal 2 2 2 2 24 2" xfId="4843"/>
    <cellStyle name="Normal 2 2 2 2 25" xfId="4844"/>
    <cellStyle name="Normal 2 2 2 2 25 2" xfId="4845"/>
    <cellStyle name="Normal 2 2 2 2 26" xfId="4846"/>
    <cellStyle name="Normal 2 2 2 2 26 2" xfId="4847"/>
    <cellStyle name="Normal 2 2 2 2 27" xfId="4848"/>
    <cellStyle name="Normal 2 2 2 2 27 2" xfId="4849"/>
    <cellStyle name="Normal 2 2 2 2 28" xfId="4850"/>
    <cellStyle name="Normal 2 2 2 2 28 2" xfId="4851"/>
    <cellStyle name="Normal 2 2 2 2 29" xfId="4852"/>
    <cellStyle name="Normal 2 2 2 2 29 2" xfId="4853"/>
    <cellStyle name="Normal 2 2 2 2 3" xfId="4854"/>
    <cellStyle name="Normal 2 2 2 2 3 10" xfId="4855"/>
    <cellStyle name="Normal 2 2 2 2 3 11" xfId="4856"/>
    <cellStyle name="Normal 2 2 2 2 3 12" xfId="4857"/>
    <cellStyle name="Normal 2 2 2 2 3 13" xfId="4858"/>
    <cellStyle name="Normal 2 2 2 2 3 14" xfId="4859"/>
    <cellStyle name="Normal 2 2 2 2 3 15" xfId="4860"/>
    <cellStyle name="Normal 2 2 2 2 3 16" xfId="4861"/>
    <cellStyle name="Normal 2 2 2 2 3 17" xfId="4862"/>
    <cellStyle name="Normal 2 2 2 2 3 18" xfId="4863"/>
    <cellStyle name="Normal 2 2 2 2 3 19" xfId="4864"/>
    <cellStyle name="Normal 2 2 2 2 3 2" xfId="4865"/>
    <cellStyle name="Normal 2 2 2 2 3 2 10" xfId="4866"/>
    <cellStyle name="Normal 2 2 2 2 3 2 11" xfId="4867"/>
    <cellStyle name="Normal 2 2 2 2 3 2 12" xfId="4868"/>
    <cellStyle name="Normal 2 2 2 2 3 2 13" xfId="4869"/>
    <cellStyle name="Normal 2 2 2 2 3 2 14" xfId="4870"/>
    <cellStyle name="Normal 2 2 2 2 3 2 15" xfId="4871"/>
    <cellStyle name="Normal 2 2 2 2 3 2 16" xfId="4872"/>
    <cellStyle name="Normal 2 2 2 2 3 2 17" xfId="4873"/>
    <cellStyle name="Normal 2 2 2 2 3 2 18" xfId="4874"/>
    <cellStyle name="Normal 2 2 2 2 3 2 19" xfId="4875"/>
    <cellStyle name="Normal 2 2 2 2 3 2 2" xfId="4876"/>
    <cellStyle name="Normal 2 2 2 2 3 2 20" xfId="4877"/>
    <cellStyle name="Normal 2 2 2 2 3 2 21" xfId="4878"/>
    <cellStyle name="Normal 2 2 2 2 3 2 22" xfId="4879"/>
    <cellStyle name="Normal 2 2 2 2 3 2 23" xfId="4880"/>
    <cellStyle name="Normal 2 2 2 2 3 2 24" xfId="4881"/>
    <cellStyle name="Normal 2 2 2 2 3 2 3" xfId="4882"/>
    <cellStyle name="Normal 2 2 2 2 3 2 4" xfId="4883"/>
    <cellStyle name="Normal 2 2 2 2 3 2 5" xfId="4884"/>
    <cellStyle name="Normal 2 2 2 2 3 2 6" xfId="4885"/>
    <cellStyle name="Normal 2 2 2 2 3 2 7" xfId="4886"/>
    <cellStyle name="Normal 2 2 2 2 3 2 8" xfId="4887"/>
    <cellStyle name="Normal 2 2 2 2 3 2 9" xfId="4888"/>
    <cellStyle name="Normal 2 2 2 2 3 20" xfId="4889"/>
    <cellStyle name="Normal 2 2 2 2 3 21" xfId="4890"/>
    <cellStyle name="Normal 2 2 2 2 3 22" xfId="4891"/>
    <cellStyle name="Normal 2 2 2 2 3 23" xfId="4892"/>
    <cellStyle name="Normal 2 2 2 2 3 3" xfId="4893"/>
    <cellStyle name="Normal 2 2 2 2 3 4" xfId="4894"/>
    <cellStyle name="Normal 2 2 2 2 3 5" xfId="4895"/>
    <cellStyle name="Normal 2 2 2 2 3 6" xfId="4896"/>
    <cellStyle name="Normal 2 2 2 2 3 7" xfId="4897"/>
    <cellStyle name="Normal 2 2 2 2 3 8" xfId="4898"/>
    <cellStyle name="Normal 2 2 2 2 3 9" xfId="4899"/>
    <cellStyle name="Normal 2 2 2 2 30" xfId="4900"/>
    <cellStyle name="Normal 2 2 2 2 30 2" xfId="4901"/>
    <cellStyle name="Normal 2 2 2 2 31" xfId="4902"/>
    <cellStyle name="Normal 2 2 2 2 31 2" xfId="4903"/>
    <cellStyle name="Normal 2 2 2 2 32" xfId="4904"/>
    <cellStyle name="Normal 2 2 2 2 32 2" xfId="4905"/>
    <cellStyle name="Normal 2 2 2 2 33" xfId="4906"/>
    <cellStyle name="Normal 2 2 2 2 33 2" xfId="4907"/>
    <cellStyle name="Normal 2 2 2 2 34" xfId="4908"/>
    <cellStyle name="Normal 2 2 2 2 35" xfId="4909"/>
    <cellStyle name="Normal 2 2 2 2 36" xfId="4910"/>
    <cellStyle name="Normal 2 2 2 2 37" xfId="4911"/>
    <cellStyle name="Normal 2 2 2 2 38" xfId="4912"/>
    <cellStyle name="Normal 2 2 2 2 39" xfId="4913"/>
    <cellStyle name="Normal 2 2 2 2 4" xfId="4914"/>
    <cellStyle name="Normal 2 2 2 2 5" xfId="4915"/>
    <cellStyle name="Normal 2 2 2 2 6" xfId="4916"/>
    <cellStyle name="Normal 2 2 2 2 7" xfId="4917"/>
    <cellStyle name="Normal 2 2 2 2 8" xfId="4918"/>
    <cellStyle name="Normal 2 2 2 2 9" xfId="4919"/>
    <cellStyle name="Normal 2 2 2 20" xfId="4920"/>
    <cellStyle name="Normal 2 2 2 21" xfId="4921"/>
    <cellStyle name="Normal 2 2 2 22" xfId="4922"/>
    <cellStyle name="Normal 2 2 2 23" xfId="4923"/>
    <cellStyle name="Normal 2 2 2 24" xfId="4924"/>
    <cellStyle name="Normal 2 2 2 25" xfId="4925"/>
    <cellStyle name="Normal 2 2 2 26" xfId="4926"/>
    <cellStyle name="Normal 2 2 2 27" xfId="4927"/>
    <cellStyle name="Normal 2 2 2 27 10" xfId="4928"/>
    <cellStyle name="Normal 2 2 2 27 11" xfId="4929"/>
    <cellStyle name="Normal 2 2 2 27 12" xfId="4930"/>
    <cellStyle name="Normal 2 2 2 27 13" xfId="4931"/>
    <cellStyle name="Normal 2 2 2 27 14" xfId="4932"/>
    <cellStyle name="Normal 2 2 2 27 15" xfId="4933"/>
    <cellStyle name="Normal 2 2 2 27 16" xfId="4934"/>
    <cellStyle name="Normal 2 2 2 27 17" xfId="4935"/>
    <cellStyle name="Normal 2 2 2 27 18" xfId="4936"/>
    <cellStyle name="Normal 2 2 2 27 19" xfId="4937"/>
    <cellStyle name="Normal 2 2 2 27 2" xfId="4938"/>
    <cellStyle name="Normal 2 2 2 27 2 10" xfId="4939"/>
    <cellStyle name="Normal 2 2 2 27 2 11" xfId="4940"/>
    <cellStyle name="Normal 2 2 2 27 2 12" xfId="4941"/>
    <cellStyle name="Normal 2 2 2 27 2 13" xfId="4942"/>
    <cellStyle name="Normal 2 2 2 27 2 14" xfId="4943"/>
    <cellStyle name="Normal 2 2 2 27 2 15" xfId="4944"/>
    <cellStyle name="Normal 2 2 2 27 2 16" xfId="4945"/>
    <cellStyle name="Normal 2 2 2 27 2 17" xfId="4946"/>
    <cellStyle name="Normal 2 2 2 27 2 18" xfId="4947"/>
    <cellStyle name="Normal 2 2 2 27 2 19" xfId="4948"/>
    <cellStyle name="Normal 2 2 2 27 2 2" xfId="4949"/>
    <cellStyle name="Normal 2 2 2 27 2 20" xfId="4950"/>
    <cellStyle name="Normal 2 2 2 27 2 21" xfId="4951"/>
    <cellStyle name="Normal 2 2 2 27 2 22" xfId="4952"/>
    <cellStyle name="Normal 2 2 2 27 2 23" xfId="4953"/>
    <cellStyle name="Normal 2 2 2 27 2 24" xfId="4954"/>
    <cellStyle name="Normal 2 2 2 27 2 3" xfId="4955"/>
    <cellStyle name="Normal 2 2 2 27 2 4" xfId="4956"/>
    <cellStyle name="Normal 2 2 2 27 2 5" xfId="4957"/>
    <cellStyle name="Normal 2 2 2 27 2 6" xfId="4958"/>
    <cellStyle name="Normal 2 2 2 27 2 7" xfId="4959"/>
    <cellStyle name="Normal 2 2 2 27 2 8" xfId="4960"/>
    <cellStyle name="Normal 2 2 2 27 2 9" xfId="4961"/>
    <cellStyle name="Normal 2 2 2 27 20" xfId="4962"/>
    <cellStyle name="Normal 2 2 2 27 21" xfId="4963"/>
    <cellStyle name="Normal 2 2 2 27 22" xfId="4964"/>
    <cellStyle name="Normal 2 2 2 27 23" xfId="4965"/>
    <cellStyle name="Normal 2 2 2 27 3" xfId="4966"/>
    <cellStyle name="Normal 2 2 2 27 4" xfId="4967"/>
    <cellStyle name="Normal 2 2 2 27 5" xfId="4968"/>
    <cellStyle name="Normal 2 2 2 27 6" xfId="4969"/>
    <cellStyle name="Normal 2 2 2 27 7" xfId="4970"/>
    <cellStyle name="Normal 2 2 2 27 8" xfId="4971"/>
    <cellStyle name="Normal 2 2 2 27 9" xfId="4972"/>
    <cellStyle name="Normal 2 2 2 28" xfId="4973"/>
    <cellStyle name="Normal 2 2 2 29" xfId="4974"/>
    <cellStyle name="Normal 2 2 2 3" xfId="4975"/>
    <cellStyle name="Normal 2 2 2 3 10" xfId="4976"/>
    <cellStyle name="Normal 2 2 2 3 11" xfId="4977"/>
    <cellStyle name="Normal 2 2 2 3 12" xfId="4978"/>
    <cellStyle name="Normal 2 2 2 3 13" xfId="4979"/>
    <cellStyle name="Normal 2 2 2 3 14" xfId="4980"/>
    <cellStyle name="Normal 2 2 2 3 15" xfId="4981"/>
    <cellStyle name="Normal 2 2 2 3 16" xfId="4982"/>
    <cellStyle name="Normal 2 2 2 3 17" xfId="4983"/>
    <cellStyle name="Normal 2 2 2 3 18" xfId="4984"/>
    <cellStyle name="Normal 2 2 2 3 19" xfId="4985"/>
    <cellStyle name="Normal 2 2 2 3 2" xfId="4986"/>
    <cellStyle name="Normal 2 2 2 3 2 10" xfId="4987"/>
    <cellStyle name="Normal 2 2 2 3 2 11" xfId="4988"/>
    <cellStyle name="Normal 2 2 2 3 2 12" xfId="4989"/>
    <cellStyle name="Normal 2 2 2 3 2 13" xfId="4990"/>
    <cellStyle name="Normal 2 2 2 3 2 14" xfId="4991"/>
    <cellStyle name="Normal 2 2 2 3 2 15" xfId="4992"/>
    <cellStyle name="Normal 2 2 2 3 2 16" xfId="4993"/>
    <cellStyle name="Normal 2 2 2 3 2 17" xfId="4994"/>
    <cellStyle name="Normal 2 2 2 3 2 18" xfId="4995"/>
    <cellStyle name="Normal 2 2 2 3 2 19" xfId="4996"/>
    <cellStyle name="Normal 2 2 2 3 2 2" xfId="4997"/>
    <cellStyle name="Normal 2 2 2 3 2 20" xfId="4998"/>
    <cellStyle name="Normal 2 2 2 3 2 21" xfId="4999"/>
    <cellStyle name="Normal 2 2 2 3 2 22" xfId="5000"/>
    <cellStyle name="Normal 2 2 2 3 2 23" xfId="5001"/>
    <cellStyle name="Normal 2 2 2 3 2 24" xfId="5002"/>
    <cellStyle name="Normal 2 2 2 3 2 25" xfId="5003"/>
    <cellStyle name="Normal 2 2 2 3 2 26" xfId="5004"/>
    <cellStyle name="Normal 2 2 2 3 2 27" xfId="5005"/>
    <cellStyle name="Normal 2 2 2 3 2 28" xfId="5006"/>
    <cellStyle name="Normal 2 2 2 3 2 29" xfId="5007"/>
    <cellStyle name="Normal 2 2 2 3 2 3" xfId="5008"/>
    <cellStyle name="Normal 2 2 2 3 2 30" xfId="5009"/>
    <cellStyle name="Normal 2 2 2 3 2 31" xfId="5010"/>
    <cellStyle name="Normal 2 2 2 3 2 32" xfId="5011"/>
    <cellStyle name="Normal 2 2 2 3 2 4" xfId="5012"/>
    <cellStyle name="Normal 2 2 2 3 2 5" xfId="5013"/>
    <cellStyle name="Normal 2 2 2 3 2 6" xfId="5014"/>
    <cellStyle name="Normal 2 2 2 3 2 7" xfId="5015"/>
    <cellStyle name="Normal 2 2 2 3 2 8" xfId="5016"/>
    <cellStyle name="Normal 2 2 2 3 2 9" xfId="5017"/>
    <cellStyle name="Normal 2 2 2 3 20" xfId="5018"/>
    <cellStyle name="Normal 2 2 2 3 21" xfId="5019"/>
    <cellStyle name="Normal 2 2 2 3 22" xfId="5020"/>
    <cellStyle name="Normal 2 2 2 3 23" xfId="5021"/>
    <cellStyle name="Normal 2 2 2 3 24" xfId="5022"/>
    <cellStyle name="Normal 2 2 2 3 25" xfId="5023"/>
    <cellStyle name="Normal 2 2 2 3 26" xfId="5024"/>
    <cellStyle name="Normal 2 2 2 3 27" xfId="5025"/>
    <cellStyle name="Normal 2 2 2 3 28" xfId="5026"/>
    <cellStyle name="Normal 2 2 2 3 29" xfId="5027"/>
    <cellStyle name="Normal 2 2 2 3 3" xfId="5028"/>
    <cellStyle name="Normal 2 2 2 3 30" xfId="5029"/>
    <cellStyle name="Normal 2 2 2 3 31" xfId="5030"/>
    <cellStyle name="Normal 2 2 2 3 4" xfId="5031"/>
    <cellStyle name="Normal 2 2 2 3 5" xfId="5032"/>
    <cellStyle name="Normal 2 2 2 3 6" xfId="5033"/>
    <cellStyle name="Normal 2 2 2 3 7" xfId="5034"/>
    <cellStyle name="Normal 2 2 2 3 8" xfId="5035"/>
    <cellStyle name="Normal 2 2 2 3 9" xfId="5036"/>
    <cellStyle name="Normal 2 2 2 30" xfId="5037"/>
    <cellStyle name="Normal 2 2 2 31" xfId="5038"/>
    <cellStyle name="Normal 2 2 2 32" xfId="5039"/>
    <cellStyle name="Normal 2 2 2 33" xfId="5040"/>
    <cellStyle name="Normal 2 2 2 34" xfId="5041"/>
    <cellStyle name="Normal 2 2 2 35" xfId="5042"/>
    <cellStyle name="Normal 2 2 2 35 10" xfId="5043"/>
    <cellStyle name="Normal 2 2 2 35 11" xfId="5044"/>
    <cellStyle name="Normal 2 2 2 35 12" xfId="5045"/>
    <cellStyle name="Normal 2 2 2 35 13" xfId="5046"/>
    <cellStyle name="Normal 2 2 2 35 14" xfId="5047"/>
    <cellStyle name="Normal 2 2 2 35 15" xfId="5048"/>
    <cellStyle name="Normal 2 2 2 35 16" xfId="5049"/>
    <cellStyle name="Normal 2 2 2 35 17" xfId="5050"/>
    <cellStyle name="Normal 2 2 2 35 18" xfId="5051"/>
    <cellStyle name="Normal 2 2 2 35 19" xfId="5052"/>
    <cellStyle name="Normal 2 2 2 35 2" xfId="5053"/>
    <cellStyle name="Normal 2 2 2 35 20" xfId="5054"/>
    <cellStyle name="Normal 2 2 2 35 21" xfId="5055"/>
    <cellStyle name="Normal 2 2 2 35 22" xfId="5056"/>
    <cellStyle name="Normal 2 2 2 35 23" xfId="5057"/>
    <cellStyle name="Normal 2 2 2 35 3" xfId="5058"/>
    <cellStyle name="Normal 2 2 2 35 4" xfId="5059"/>
    <cellStyle name="Normal 2 2 2 35 5" xfId="5060"/>
    <cellStyle name="Normal 2 2 2 35 6" xfId="5061"/>
    <cellStyle name="Normal 2 2 2 35 7" xfId="5062"/>
    <cellStyle name="Normal 2 2 2 35 8" xfId="5063"/>
    <cellStyle name="Normal 2 2 2 35 9" xfId="5064"/>
    <cellStyle name="Normal 2 2 2 36" xfId="5065"/>
    <cellStyle name="Normal 2 2 2 36 10" xfId="5066"/>
    <cellStyle name="Normal 2 2 2 36 11" xfId="5067"/>
    <cellStyle name="Normal 2 2 2 36 12" xfId="5068"/>
    <cellStyle name="Normal 2 2 2 36 13" xfId="5069"/>
    <cellStyle name="Normal 2 2 2 36 14" xfId="5070"/>
    <cellStyle name="Normal 2 2 2 36 15" xfId="5071"/>
    <cellStyle name="Normal 2 2 2 36 16" xfId="5072"/>
    <cellStyle name="Normal 2 2 2 36 17" xfId="5073"/>
    <cellStyle name="Normal 2 2 2 36 18" xfId="5074"/>
    <cellStyle name="Normal 2 2 2 36 19" xfId="5075"/>
    <cellStyle name="Normal 2 2 2 36 2" xfId="5076"/>
    <cellStyle name="Normal 2 2 2 36 20" xfId="5077"/>
    <cellStyle name="Normal 2 2 2 36 21" xfId="5078"/>
    <cellStyle name="Normal 2 2 2 36 22" xfId="5079"/>
    <cellStyle name="Normal 2 2 2 36 23" xfId="5080"/>
    <cellStyle name="Normal 2 2 2 36 3" xfId="5081"/>
    <cellStyle name="Normal 2 2 2 36 4" xfId="5082"/>
    <cellStyle name="Normal 2 2 2 36 5" xfId="5083"/>
    <cellStyle name="Normal 2 2 2 36 6" xfId="5084"/>
    <cellStyle name="Normal 2 2 2 36 7" xfId="5085"/>
    <cellStyle name="Normal 2 2 2 36 8" xfId="5086"/>
    <cellStyle name="Normal 2 2 2 36 9" xfId="5087"/>
    <cellStyle name="Normal 2 2 2 37" xfId="5088"/>
    <cellStyle name="Normal 2 2 2 37 10" xfId="5089"/>
    <cellStyle name="Normal 2 2 2 37 11" xfId="5090"/>
    <cellStyle name="Normal 2 2 2 37 12" xfId="5091"/>
    <cellStyle name="Normal 2 2 2 37 13" xfId="5092"/>
    <cellStyle name="Normal 2 2 2 37 14" xfId="5093"/>
    <cellStyle name="Normal 2 2 2 37 15" xfId="5094"/>
    <cellStyle name="Normal 2 2 2 37 16" xfId="5095"/>
    <cellStyle name="Normal 2 2 2 37 17" xfId="5096"/>
    <cellStyle name="Normal 2 2 2 37 18" xfId="5097"/>
    <cellStyle name="Normal 2 2 2 37 19" xfId="5098"/>
    <cellStyle name="Normal 2 2 2 37 2" xfId="5099"/>
    <cellStyle name="Normal 2 2 2 37 20" xfId="5100"/>
    <cellStyle name="Normal 2 2 2 37 21" xfId="5101"/>
    <cellStyle name="Normal 2 2 2 37 22" xfId="5102"/>
    <cellStyle name="Normal 2 2 2 37 23" xfId="5103"/>
    <cellStyle name="Normal 2 2 2 37 3" xfId="5104"/>
    <cellStyle name="Normal 2 2 2 37 4" xfId="5105"/>
    <cellStyle name="Normal 2 2 2 37 5" xfId="5106"/>
    <cellStyle name="Normal 2 2 2 37 6" xfId="5107"/>
    <cellStyle name="Normal 2 2 2 37 7" xfId="5108"/>
    <cellStyle name="Normal 2 2 2 37 8" xfId="5109"/>
    <cellStyle name="Normal 2 2 2 37 9" xfId="5110"/>
    <cellStyle name="Normal 2 2 2 38" xfId="5111"/>
    <cellStyle name="Normal 2 2 2 38 10" xfId="5112"/>
    <cellStyle name="Normal 2 2 2 38 11" xfId="5113"/>
    <cellStyle name="Normal 2 2 2 38 12" xfId="5114"/>
    <cellStyle name="Normal 2 2 2 38 13" xfId="5115"/>
    <cellStyle name="Normal 2 2 2 38 14" xfId="5116"/>
    <cellStyle name="Normal 2 2 2 38 15" xfId="5117"/>
    <cellStyle name="Normal 2 2 2 38 16" xfId="5118"/>
    <cellStyle name="Normal 2 2 2 38 17" xfId="5119"/>
    <cellStyle name="Normal 2 2 2 38 18" xfId="5120"/>
    <cellStyle name="Normal 2 2 2 38 19" xfId="5121"/>
    <cellStyle name="Normal 2 2 2 38 2" xfId="5122"/>
    <cellStyle name="Normal 2 2 2 38 20" xfId="5123"/>
    <cellStyle name="Normal 2 2 2 38 21" xfId="5124"/>
    <cellStyle name="Normal 2 2 2 38 22" xfId="5125"/>
    <cellStyle name="Normal 2 2 2 38 23" xfId="5126"/>
    <cellStyle name="Normal 2 2 2 38 3" xfId="5127"/>
    <cellStyle name="Normal 2 2 2 38 4" xfId="5128"/>
    <cellStyle name="Normal 2 2 2 38 5" xfId="5129"/>
    <cellStyle name="Normal 2 2 2 38 6" xfId="5130"/>
    <cellStyle name="Normal 2 2 2 38 7" xfId="5131"/>
    <cellStyle name="Normal 2 2 2 38 8" xfId="5132"/>
    <cellStyle name="Normal 2 2 2 38 9" xfId="5133"/>
    <cellStyle name="Normal 2 2 2 39" xfId="5134"/>
    <cellStyle name="Normal 2 2 2 39 10" xfId="5135"/>
    <cellStyle name="Normal 2 2 2 39 11" xfId="5136"/>
    <cellStyle name="Normal 2 2 2 39 12" xfId="5137"/>
    <cellStyle name="Normal 2 2 2 39 13" xfId="5138"/>
    <cellStyle name="Normal 2 2 2 39 14" xfId="5139"/>
    <cellStyle name="Normal 2 2 2 39 15" xfId="5140"/>
    <cellStyle name="Normal 2 2 2 39 16" xfId="5141"/>
    <cellStyle name="Normal 2 2 2 39 17" xfId="5142"/>
    <cellStyle name="Normal 2 2 2 39 18" xfId="5143"/>
    <cellStyle name="Normal 2 2 2 39 19" xfId="5144"/>
    <cellStyle name="Normal 2 2 2 39 2" xfId="5145"/>
    <cellStyle name="Normal 2 2 2 39 20" xfId="5146"/>
    <cellStyle name="Normal 2 2 2 39 21" xfId="5147"/>
    <cellStyle name="Normal 2 2 2 39 22" xfId="5148"/>
    <cellStyle name="Normal 2 2 2 39 23" xfId="5149"/>
    <cellStyle name="Normal 2 2 2 39 3" xfId="5150"/>
    <cellStyle name="Normal 2 2 2 39 4" xfId="5151"/>
    <cellStyle name="Normal 2 2 2 39 5" xfId="5152"/>
    <cellStyle name="Normal 2 2 2 39 6" xfId="5153"/>
    <cellStyle name="Normal 2 2 2 39 7" xfId="5154"/>
    <cellStyle name="Normal 2 2 2 39 8" xfId="5155"/>
    <cellStyle name="Normal 2 2 2 39 9" xfId="5156"/>
    <cellStyle name="Normal 2 2 2 4" xfId="5157"/>
    <cellStyle name="Normal 2 2 2 4 10" xfId="5158"/>
    <cellStyle name="Normal 2 2 2 4 11" xfId="5159"/>
    <cellStyle name="Normal 2 2 2 4 12" xfId="5160"/>
    <cellStyle name="Normal 2 2 2 4 13" xfId="5161"/>
    <cellStyle name="Normal 2 2 2 4 14" xfId="5162"/>
    <cellStyle name="Normal 2 2 2 4 15" xfId="5163"/>
    <cellStyle name="Normal 2 2 2 4 16" xfId="5164"/>
    <cellStyle name="Normal 2 2 2 4 17" xfId="5165"/>
    <cellStyle name="Normal 2 2 2 4 18" xfId="5166"/>
    <cellStyle name="Normal 2 2 2 4 19" xfId="5167"/>
    <cellStyle name="Normal 2 2 2 4 2" xfId="5168"/>
    <cellStyle name="Normal 2 2 2 4 2 10" xfId="5169"/>
    <cellStyle name="Normal 2 2 2 4 2 11" xfId="5170"/>
    <cellStyle name="Normal 2 2 2 4 2 12" xfId="5171"/>
    <cellStyle name="Normal 2 2 2 4 2 13" xfId="5172"/>
    <cellStyle name="Normal 2 2 2 4 2 14" xfId="5173"/>
    <cellStyle name="Normal 2 2 2 4 2 15" xfId="5174"/>
    <cellStyle name="Normal 2 2 2 4 2 16" xfId="5175"/>
    <cellStyle name="Normal 2 2 2 4 2 17" xfId="5176"/>
    <cellStyle name="Normal 2 2 2 4 2 18" xfId="5177"/>
    <cellStyle name="Normal 2 2 2 4 2 19" xfId="5178"/>
    <cellStyle name="Normal 2 2 2 4 2 2" xfId="5179"/>
    <cellStyle name="Normal 2 2 2 4 2 20" xfId="5180"/>
    <cellStyle name="Normal 2 2 2 4 2 21" xfId="5181"/>
    <cellStyle name="Normal 2 2 2 4 2 22" xfId="5182"/>
    <cellStyle name="Normal 2 2 2 4 2 23" xfId="5183"/>
    <cellStyle name="Normal 2 2 2 4 2 24" xfId="5184"/>
    <cellStyle name="Normal 2 2 2 4 2 25" xfId="5185"/>
    <cellStyle name="Normal 2 2 2 4 2 26" xfId="5186"/>
    <cellStyle name="Normal 2 2 2 4 2 27" xfId="5187"/>
    <cellStyle name="Normal 2 2 2 4 2 28" xfId="5188"/>
    <cellStyle name="Normal 2 2 2 4 2 29" xfId="5189"/>
    <cellStyle name="Normal 2 2 2 4 2 3" xfId="5190"/>
    <cellStyle name="Normal 2 2 2 4 2 30" xfId="5191"/>
    <cellStyle name="Normal 2 2 2 4 2 31" xfId="5192"/>
    <cellStyle name="Normal 2 2 2 4 2 32" xfId="5193"/>
    <cellStyle name="Normal 2 2 2 4 2 4" xfId="5194"/>
    <cellStyle name="Normal 2 2 2 4 2 5" xfId="5195"/>
    <cellStyle name="Normal 2 2 2 4 2 6" xfId="5196"/>
    <cellStyle name="Normal 2 2 2 4 2 7" xfId="5197"/>
    <cellStyle name="Normal 2 2 2 4 2 8" xfId="5198"/>
    <cellStyle name="Normal 2 2 2 4 2 9" xfId="5199"/>
    <cellStyle name="Normal 2 2 2 4 20" xfId="5200"/>
    <cellStyle name="Normal 2 2 2 4 21" xfId="5201"/>
    <cellStyle name="Normal 2 2 2 4 22" xfId="5202"/>
    <cellStyle name="Normal 2 2 2 4 23" xfId="5203"/>
    <cellStyle name="Normal 2 2 2 4 24" xfId="5204"/>
    <cellStyle name="Normal 2 2 2 4 25" xfId="5205"/>
    <cellStyle name="Normal 2 2 2 4 26" xfId="5206"/>
    <cellStyle name="Normal 2 2 2 4 27" xfId="5207"/>
    <cellStyle name="Normal 2 2 2 4 28" xfId="5208"/>
    <cellStyle name="Normal 2 2 2 4 29" xfId="5209"/>
    <cellStyle name="Normal 2 2 2 4 3" xfId="5210"/>
    <cellStyle name="Normal 2 2 2 4 30" xfId="5211"/>
    <cellStyle name="Normal 2 2 2 4 31" xfId="5212"/>
    <cellStyle name="Normal 2 2 2 4 4" xfId="5213"/>
    <cellStyle name="Normal 2 2 2 4 5" xfId="5214"/>
    <cellStyle name="Normal 2 2 2 4 6" xfId="5215"/>
    <cellStyle name="Normal 2 2 2 4 7" xfId="5216"/>
    <cellStyle name="Normal 2 2 2 4 8" xfId="5217"/>
    <cellStyle name="Normal 2 2 2 4 9" xfId="5218"/>
    <cellStyle name="Normal 2 2 2 40" xfId="5219"/>
    <cellStyle name="Normal 2 2 2 40 10" xfId="5220"/>
    <cellStyle name="Normal 2 2 2 40 11" xfId="5221"/>
    <cellStyle name="Normal 2 2 2 40 12" xfId="5222"/>
    <cellStyle name="Normal 2 2 2 40 13" xfId="5223"/>
    <cellStyle name="Normal 2 2 2 40 14" xfId="5224"/>
    <cellStyle name="Normal 2 2 2 40 15" xfId="5225"/>
    <cellStyle name="Normal 2 2 2 40 16" xfId="5226"/>
    <cellStyle name="Normal 2 2 2 40 17" xfId="5227"/>
    <cellStyle name="Normal 2 2 2 40 18" xfId="5228"/>
    <cellStyle name="Normal 2 2 2 40 19" xfId="5229"/>
    <cellStyle name="Normal 2 2 2 40 2" xfId="5230"/>
    <cellStyle name="Normal 2 2 2 40 20" xfId="5231"/>
    <cellStyle name="Normal 2 2 2 40 21" xfId="5232"/>
    <cellStyle name="Normal 2 2 2 40 22" xfId="5233"/>
    <cellStyle name="Normal 2 2 2 40 23" xfId="5234"/>
    <cellStyle name="Normal 2 2 2 40 3" xfId="5235"/>
    <cellStyle name="Normal 2 2 2 40 4" xfId="5236"/>
    <cellStyle name="Normal 2 2 2 40 5" xfId="5237"/>
    <cellStyle name="Normal 2 2 2 40 6" xfId="5238"/>
    <cellStyle name="Normal 2 2 2 40 7" xfId="5239"/>
    <cellStyle name="Normal 2 2 2 40 8" xfId="5240"/>
    <cellStyle name="Normal 2 2 2 40 9" xfId="5241"/>
    <cellStyle name="Normal 2 2 2 41" xfId="5242"/>
    <cellStyle name="Normal 2 2 2 41 10" xfId="5243"/>
    <cellStyle name="Normal 2 2 2 41 11" xfId="5244"/>
    <cellStyle name="Normal 2 2 2 41 12" xfId="5245"/>
    <cellStyle name="Normal 2 2 2 41 13" xfId="5246"/>
    <cellStyle name="Normal 2 2 2 41 14" xfId="5247"/>
    <cellStyle name="Normal 2 2 2 41 15" xfId="5248"/>
    <cellStyle name="Normal 2 2 2 41 16" xfId="5249"/>
    <cellStyle name="Normal 2 2 2 41 17" xfId="5250"/>
    <cellStyle name="Normal 2 2 2 41 18" xfId="5251"/>
    <cellStyle name="Normal 2 2 2 41 19" xfId="5252"/>
    <cellStyle name="Normal 2 2 2 41 2" xfId="5253"/>
    <cellStyle name="Normal 2 2 2 41 20" xfId="5254"/>
    <cellStyle name="Normal 2 2 2 41 21" xfId="5255"/>
    <cellStyle name="Normal 2 2 2 41 22" xfId="5256"/>
    <cellStyle name="Normal 2 2 2 41 23" xfId="5257"/>
    <cellStyle name="Normal 2 2 2 41 3" xfId="5258"/>
    <cellStyle name="Normal 2 2 2 41 4" xfId="5259"/>
    <cellStyle name="Normal 2 2 2 41 5" xfId="5260"/>
    <cellStyle name="Normal 2 2 2 41 6" xfId="5261"/>
    <cellStyle name="Normal 2 2 2 41 7" xfId="5262"/>
    <cellStyle name="Normal 2 2 2 41 8" xfId="5263"/>
    <cellStyle name="Normal 2 2 2 41 9" xfId="5264"/>
    <cellStyle name="Normal 2 2 2 42" xfId="5265"/>
    <cellStyle name="Normal 2 2 2 42 10" xfId="5266"/>
    <cellStyle name="Normal 2 2 2 42 11" xfId="5267"/>
    <cellStyle name="Normal 2 2 2 42 12" xfId="5268"/>
    <cellStyle name="Normal 2 2 2 42 13" xfId="5269"/>
    <cellStyle name="Normal 2 2 2 42 14" xfId="5270"/>
    <cellStyle name="Normal 2 2 2 42 15" xfId="5271"/>
    <cellStyle name="Normal 2 2 2 42 16" xfId="5272"/>
    <cellStyle name="Normal 2 2 2 42 17" xfId="5273"/>
    <cellStyle name="Normal 2 2 2 42 18" xfId="5274"/>
    <cellStyle name="Normal 2 2 2 42 19" xfId="5275"/>
    <cellStyle name="Normal 2 2 2 42 2" xfId="5276"/>
    <cellStyle name="Normal 2 2 2 42 20" xfId="5277"/>
    <cellStyle name="Normal 2 2 2 42 21" xfId="5278"/>
    <cellStyle name="Normal 2 2 2 42 22" xfId="5279"/>
    <cellStyle name="Normal 2 2 2 42 23" xfId="5280"/>
    <cellStyle name="Normal 2 2 2 42 3" xfId="5281"/>
    <cellStyle name="Normal 2 2 2 42 4" xfId="5282"/>
    <cellStyle name="Normal 2 2 2 42 5" xfId="5283"/>
    <cellStyle name="Normal 2 2 2 42 6" xfId="5284"/>
    <cellStyle name="Normal 2 2 2 42 7" xfId="5285"/>
    <cellStyle name="Normal 2 2 2 42 8" xfId="5286"/>
    <cellStyle name="Normal 2 2 2 42 9" xfId="5287"/>
    <cellStyle name="Normal 2 2 2 43" xfId="5288"/>
    <cellStyle name="Normal 2 2 2 43 2" xfId="5289"/>
    <cellStyle name="Normal 2 2 2 44" xfId="5290"/>
    <cellStyle name="Normal 2 2 2 44 2" xfId="5291"/>
    <cellStyle name="Normal 2 2 2 45" xfId="5292"/>
    <cellStyle name="Normal 2 2 2 45 2" xfId="5293"/>
    <cellStyle name="Normal 2 2 2 46" xfId="5294"/>
    <cellStyle name="Normal 2 2 2 46 2" xfId="5295"/>
    <cellStyle name="Normal 2 2 2 47" xfId="5296"/>
    <cellStyle name="Normal 2 2 2 47 2" xfId="5297"/>
    <cellStyle name="Normal 2 2 2 48" xfId="5298"/>
    <cellStyle name="Normal 2 2 2 48 2" xfId="5299"/>
    <cellStyle name="Normal 2 2 2 49" xfId="5300"/>
    <cellStyle name="Normal 2 2 2 49 2" xfId="5301"/>
    <cellStyle name="Normal 2 2 2 5" xfId="5302"/>
    <cellStyle name="Normal 2 2 2 5 10" xfId="5303"/>
    <cellStyle name="Normal 2 2 2 5 11" xfId="5304"/>
    <cellStyle name="Normal 2 2 2 5 12" xfId="5305"/>
    <cellStyle name="Normal 2 2 2 5 13" xfId="5306"/>
    <cellStyle name="Normal 2 2 2 5 14" xfId="5307"/>
    <cellStyle name="Normal 2 2 2 5 15" xfId="5308"/>
    <cellStyle name="Normal 2 2 2 5 16" xfId="5309"/>
    <cellStyle name="Normal 2 2 2 5 17" xfId="5310"/>
    <cellStyle name="Normal 2 2 2 5 18" xfId="5311"/>
    <cellStyle name="Normal 2 2 2 5 19" xfId="5312"/>
    <cellStyle name="Normal 2 2 2 5 2" xfId="5313"/>
    <cellStyle name="Normal 2 2 2 5 2 10" xfId="5314"/>
    <cellStyle name="Normal 2 2 2 5 2 11" xfId="5315"/>
    <cellStyle name="Normal 2 2 2 5 2 12" xfId="5316"/>
    <cellStyle name="Normal 2 2 2 5 2 13" xfId="5317"/>
    <cellStyle name="Normal 2 2 2 5 2 14" xfId="5318"/>
    <cellStyle name="Normal 2 2 2 5 2 15" xfId="5319"/>
    <cellStyle name="Normal 2 2 2 5 2 16" xfId="5320"/>
    <cellStyle name="Normal 2 2 2 5 2 17" xfId="5321"/>
    <cellStyle name="Normal 2 2 2 5 2 18" xfId="5322"/>
    <cellStyle name="Normal 2 2 2 5 2 19" xfId="5323"/>
    <cellStyle name="Normal 2 2 2 5 2 2" xfId="5324"/>
    <cellStyle name="Normal 2 2 2 5 2 20" xfId="5325"/>
    <cellStyle name="Normal 2 2 2 5 2 21" xfId="5326"/>
    <cellStyle name="Normal 2 2 2 5 2 22" xfId="5327"/>
    <cellStyle name="Normal 2 2 2 5 2 23" xfId="5328"/>
    <cellStyle name="Normal 2 2 2 5 2 24" xfId="5329"/>
    <cellStyle name="Normal 2 2 2 5 2 25" xfId="5330"/>
    <cellStyle name="Normal 2 2 2 5 2 26" xfId="5331"/>
    <cellStyle name="Normal 2 2 2 5 2 27" xfId="5332"/>
    <cellStyle name="Normal 2 2 2 5 2 28" xfId="5333"/>
    <cellStyle name="Normal 2 2 2 5 2 29" xfId="5334"/>
    <cellStyle name="Normal 2 2 2 5 2 3" xfId="5335"/>
    <cellStyle name="Normal 2 2 2 5 2 30" xfId="5336"/>
    <cellStyle name="Normal 2 2 2 5 2 31" xfId="5337"/>
    <cellStyle name="Normal 2 2 2 5 2 32" xfId="5338"/>
    <cellStyle name="Normal 2 2 2 5 2 4" xfId="5339"/>
    <cellStyle name="Normal 2 2 2 5 2 5" xfId="5340"/>
    <cellStyle name="Normal 2 2 2 5 2 6" xfId="5341"/>
    <cellStyle name="Normal 2 2 2 5 2 7" xfId="5342"/>
    <cellStyle name="Normal 2 2 2 5 2 8" xfId="5343"/>
    <cellStyle name="Normal 2 2 2 5 2 9" xfId="5344"/>
    <cellStyle name="Normal 2 2 2 5 20" xfId="5345"/>
    <cellStyle name="Normal 2 2 2 5 21" xfId="5346"/>
    <cellStyle name="Normal 2 2 2 5 22" xfId="5347"/>
    <cellStyle name="Normal 2 2 2 5 23" xfId="5348"/>
    <cellStyle name="Normal 2 2 2 5 24" xfId="5349"/>
    <cellStyle name="Normal 2 2 2 5 25" xfId="5350"/>
    <cellStyle name="Normal 2 2 2 5 26" xfId="5351"/>
    <cellStyle name="Normal 2 2 2 5 27" xfId="5352"/>
    <cellStyle name="Normal 2 2 2 5 28" xfId="5353"/>
    <cellStyle name="Normal 2 2 2 5 29" xfId="5354"/>
    <cellStyle name="Normal 2 2 2 5 3" xfId="5355"/>
    <cellStyle name="Normal 2 2 2 5 30" xfId="5356"/>
    <cellStyle name="Normal 2 2 2 5 31" xfId="5357"/>
    <cellStyle name="Normal 2 2 2 5 4" xfId="5358"/>
    <cellStyle name="Normal 2 2 2 5 5" xfId="5359"/>
    <cellStyle name="Normal 2 2 2 5 6" xfId="5360"/>
    <cellStyle name="Normal 2 2 2 5 7" xfId="5361"/>
    <cellStyle name="Normal 2 2 2 5 8" xfId="5362"/>
    <cellStyle name="Normal 2 2 2 5 9" xfId="5363"/>
    <cellStyle name="Normal 2 2 2 50" xfId="5364"/>
    <cellStyle name="Normal 2 2 2 50 2" xfId="5365"/>
    <cellStyle name="Normal 2 2 2 51" xfId="5366"/>
    <cellStyle name="Normal 2 2 2 51 2" xfId="5367"/>
    <cellStyle name="Normal 2 2 2 52" xfId="5368"/>
    <cellStyle name="Normal 2 2 2 52 2" xfId="5369"/>
    <cellStyle name="Normal 2 2 2 53" xfId="5370"/>
    <cellStyle name="Normal 2 2 2 53 2" xfId="5371"/>
    <cellStyle name="Normal 2 2 2 54" xfId="5372"/>
    <cellStyle name="Normal 2 2 2 54 2" xfId="5373"/>
    <cellStyle name="Normal 2 2 2 55" xfId="5374"/>
    <cellStyle name="Normal 2 2 2 55 2" xfId="5375"/>
    <cellStyle name="Normal 2 2 2 56" xfId="5376"/>
    <cellStyle name="Normal 2 2 2 56 2" xfId="5377"/>
    <cellStyle name="Normal 2 2 2 57" xfId="5378"/>
    <cellStyle name="Normal 2 2 2 57 2" xfId="5379"/>
    <cellStyle name="Normal 2 2 2 58" xfId="5380"/>
    <cellStyle name="Normal 2 2 2 59" xfId="5381"/>
    <cellStyle name="Normal 2 2 2 6" xfId="5382"/>
    <cellStyle name="Normal 2 2 2 6 10" xfId="5383"/>
    <cellStyle name="Normal 2 2 2 6 11" xfId="5384"/>
    <cellStyle name="Normal 2 2 2 6 12" xfId="5385"/>
    <cellStyle name="Normal 2 2 2 6 13" xfId="5386"/>
    <cellStyle name="Normal 2 2 2 6 14" xfId="5387"/>
    <cellStyle name="Normal 2 2 2 6 15" xfId="5388"/>
    <cellStyle name="Normal 2 2 2 6 16" xfId="5389"/>
    <cellStyle name="Normal 2 2 2 6 17" xfId="5390"/>
    <cellStyle name="Normal 2 2 2 6 18" xfId="5391"/>
    <cellStyle name="Normal 2 2 2 6 19" xfId="5392"/>
    <cellStyle name="Normal 2 2 2 6 2" xfId="5393"/>
    <cellStyle name="Normal 2 2 2 6 20" xfId="5394"/>
    <cellStyle name="Normal 2 2 2 6 21" xfId="5395"/>
    <cellStyle name="Normal 2 2 2 6 22" xfId="5396"/>
    <cellStyle name="Normal 2 2 2 6 23" xfId="5397"/>
    <cellStyle name="Normal 2 2 2 6 24" xfId="5398"/>
    <cellStyle name="Normal 2 2 2 6 25" xfId="5399"/>
    <cellStyle name="Normal 2 2 2 6 26" xfId="5400"/>
    <cellStyle name="Normal 2 2 2 6 27" xfId="5401"/>
    <cellStyle name="Normal 2 2 2 6 28" xfId="5402"/>
    <cellStyle name="Normal 2 2 2 6 29" xfId="5403"/>
    <cellStyle name="Normal 2 2 2 6 3" xfId="5404"/>
    <cellStyle name="Normal 2 2 2 6 30" xfId="5405"/>
    <cellStyle name="Normal 2 2 2 6 31" xfId="5406"/>
    <cellStyle name="Normal 2 2 2 6 32" xfId="5407"/>
    <cellStyle name="Normal 2 2 2 6 4" xfId="5408"/>
    <cellStyle name="Normal 2 2 2 6 5" xfId="5409"/>
    <cellStyle name="Normal 2 2 2 6 6" xfId="5410"/>
    <cellStyle name="Normal 2 2 2 6 7" xfId="5411"/>
    <cellStyle name="Normal 2 2 2 6 8" xfId="5412"/>
    <cellStyle name="Normal 2 2 2 6 9" xfId="5413"/>
    <cellStyle name="Normal 2 2 2 60" xfId="5414"/>
    <cellStyle name="Normal 2 2 2 61" xfId="5415"/>
    <cellStyle name="Normal 2 2 2 62" xfId="5416"/>
    <cellStyle name="Normal 2 2 2 63" xfId="5417"/>
    <cellStyle name="Normal 2 2 2 64" xfId="5418"/>
    <cellStyle name="Normal 2 2 2 65" xfId="5419"/>
    <cellStyle name="Normal 2 2 2 7" xfId="5420"/>
    <cellStyle name="Normal 2 2 2 8" xfId="5421"/>
    <cellStyle name="Normal 2 2 2 9" xfId="5422"/>
    <cellStyle name="Normal 2 2 20" xfId="5423"/>
    <cellStyle name="Normal 2 2 21" xfId="5424"/>
    <cellStyle name="Normal 2 2 22" xfId="5425"/>
    <cellStyle name="Normal 2 2 23" xfId="5426"/>
    <cellStyle name="Normal 2 2 24" xfId="5427"/>
    <cellStyle name="Normal 2 2 25" xfId="5428"/>
    <cellStyle name="Normal 2 2 26" xfId="5429"/>
    <cellStyle name="Normal 2 2 27" xfId="5430"/>
    <cellStyle name="Normal 2 2 28" xfId="5431"/>
    <cellStyle name="Normal 2 2 29" xfId="5432"/>
    <cellStyle name="Normal 2 2 3" xfId="5433"/>
    <cellStyle name="Normal 2 2 3 10" xfId="5434"/>
    <cellStyle name="Normal 2 2 3 11" xfId="5435"/>
    <cellStyle name="Normal 2 2 3 12" xfId="5436"/>
    <cellStyle name="Normal 2 2 3 13" xfId="5437"/>
    <cellStyle name="Normal 2 2 3 14" xfId="5438"/>
    <cellStyle name="Normal 2 2 3 15" xfId="5439"/>
    <cellStyle name="Normal 2 2 3 16" xfId="5440"/>
    <cellStyle name="Normal 2 2 3 17" xfId="5441"/>
    <cellStyle name="Normal 2 2 3 18" xfId="5442"/>
    <cellStyle name="Normal 2 2 3 19" xfId="5443"/>
    <cellStyle name="Normal 2 2 3 2" xfId="5444"/>
    <cellStyle name="Normal 2 2 3 2 10" xfId="5445"/>
    <cellStyle name="Normal 2 2 3 2 11" xfId="5446"/>
    <cellStyle name="Normal 2 2 3 2 12" xfId="5447"/>
    <cellStyle name="Normal 2 2 3 2 13" xfId="5448"/>
    <cellStyle name="Normal 2 2 3 2 14" xfId="5449"/>
    <cellStyle name="Normal 2 2 3 2 15" xfId="5450"/>
    <cellStyle name="Normal 2 2 3 2 16" xfId="5451"/>
    <cellStyle name="Normal 2 2 3 2 17" xfId="5452"/>
    <cellStyle name="Normal 2 2 3 2 18" xfId="5453"/>
    <cellStyle name="Normal 2 2 3 2 19" xfId="5454"/>
    <cellStyle name="Normal 2 2 3 2 2" xfId="5455"/>
    <cellStyle name="Normal 2 2 3 2 2 10" xfId="5456"/>
    <cellStyle name="Normal 2 2 3 2 2 11" xfId="5457"/>
    <cellStyle name="Normal 2 2 3 2 2 12" xfId="5458"/>
    <cellStyle name="Normal 2 2 3 2 2 13" xfId="5459"/>
    <cellStyle name="Normal 2 2 3 2 2 14" xfId="5460"/>
    <cellStyle name="Normal 2 2 3 2 2 15" xfId="5461"/>
    <cellStyle name="Normal 2 2 3 2 2 16" xfId="5462"/>
    <cellStyle name="Normal 2 2 3 2 2 17" xfId="5463"/>
    <cellStyle name="Normal 2 2 3 2 2 18" xfId="5464"/>
    <cellStyle name="Normal 2 2 3 2 2 19" xfId="5465"/>
    <cellStyle name="Normal 2 2 3 2 2 2" xfId="5466"/>
    <cellStyle name="Normal 2 2 3 2 2 2 10" xfId="5467"/>
    <cellStyle name="Normal 2 2 3 2 2 2 11" xfId="5468"/>
    <cellStyle name="Normal 2 2 3 2 2 2 12" xfId="5469"/>
    <cellStyle name="Normal 2 2 3 2 2 2 13" xfId="5470"/>
    <cellStyle name="Normal 2 2 3 2 2 2 14" xfId="5471"/>
    <cellStyle name="Normal 2 2 3 2 2 2 15" xfId="5472"/>
    <cellStyle name="Normal 2 2 3 2 2 2 16" xfId="5473"/>
    <cellStyle name="Normal 2 2 3 2 2 2 17" xfId="5474"/>
    <cellStyle name="Normal 2 2 3 2 2 2 18" xfId="5475"/>
    <cellStyle name="Normal 2 2 3 2 2 2 19" xfId="5476"/>
    <cellStyle name="Normal 2 2 3 2 2 2 2" xfId="5477"/>
    <cellStyle name="Normal 2 2 3 2 2 2 20" xfId="5478"/>
    <cellStyle name="Normal 2 2 3 2 2 2 21" xfId="5479"/>
    <cellStyle name="Normal 2 2 3 2 2 2 22" xfId="5480"/>
    <cellStyle name="Normal 2 2 3 2 2 2 23" xfId="5481"/>
    <cellStyle name="Normal 2 2 3 2 2 2 24" xfId="5482"/>
    <cellStyle name="Normal 2 2 3 2 2 2 3" xfId="5483"/>
    <cellStyle name="Normal 2 2 3 2 2 2 4" xfId="5484"/>
    <cellStyle name="Normal 2 2 3 2 2 2 5" xfId="5485"/>
    <cellStyle name="Normal 2 2 3 2 2 2 6" xfId="5486"/>
    <cellStyle name="Normal 2 2 3 2 2 2 7" xfId="5487"/>
    <cellStyle name="Normal 2 2 3 2 2 2 8" xfId="5488"/>
    <cellStyle name="Normal 2 2 3 2 2 2 9" xfId="5489"/>
    <cellStyle name="Normal 2 2 3 2 2 20" xfId="5490"/>
    <cellStyle name="Normal 2 2 3 2 2 21" xfId="5491"/>
    <cellStyle name="Normal 2 2 3 2 2 22" xfId="5492"/>
    <cellStyle name="Normal 2 2 3 2 2 23" xfId="5493"/>
    <cellStyle name="Normal 2 2 3 2 2 3" xfId="5494"/>
    <cellStyle name="Normal 2 2 3 2 2 4" xfId="5495"/>
    <cellStyle name="Normal 2 2 3 2 2 5" xfId="5496"/>
    <cellStyle name="Normal 2 2 3 2 2 6" xfId="5497"/>
    <cellStyle name="Normal 2 2 3 2 2 7" xfId="5498"/>
    <cellStyle name="Normal 2 2 3 2 2 8" xfId="5499"/>
    <cellStyle name="Normal 2 2 3 2 2 9" xfId="5500"/>
    <cellStyle name="Normal 2 2 3 2 20" xfId="5501"/>
    <cellStyle name="Normal 2 2 3 2 21" xfId="5502"/>
    <cellStyle name="Normal 2 2 3 2 22" xfId="5503"/>
    <cellStyle name="Normal 2 2 3 2 23" xfId="5504"/>
    <cellStyle name="Normal 2 2 3 2 24" xfId="5505"/>
    <cellStyle name="Normal 2 2 3 2 25" xfId="5506"/>
    <cellStyle name="Normal 2 2 3 2 26" xfId="5507"/>
    <cellStyle name="Normal 2 2 3 2 27" xfId="5508"/>
    <cellStyle name="Normal 2 2 3 2 28" xfId="5509"/>
    <cellStyle name="Normal 2 2 3 2 29" xfId="5510"/>
    <cellStyle name="Normal 2 2 3 2 3" xfId="5511"/>
    <cellStyle name="Normal 2 2 3 2 30" xfId="5512"/>
    <cellStyle name="Normal 2 2 3 2 31" xfId="5513"/>
    <cellStyle name="Normal 2 2 3 2 4" xfId="5514"/>
    <cellStyle name="Normal 2 2 3 2 5" xfId="5515"/>
    <cellStyle name="Normal 2 2 3 2 6" xfId="5516"/>
    <cellStyle name="Normal 2 2 3 2 7" xfId="5517"/>
    <cellStyle name="Normal 2 2 3 2 8" xfId="5518"/>
    <cellStyle name="Normal 2 2 3 2 9" xfId="5519"/>
    <cellStyle name="Normal 2 2 3 20" xfId="5520"/>
    <cellStyle name="Normal 2 2 3 21" xfId="5521"/>
    <cellStyle name="Normal 2 2 3 22" xfId="5522"/>
    <cellStyle name="Normal 2 2 3 23" xfId="5523"/>
    <cellStyle name="Normal 2 2 3 24" xfId="5524"/>
    <cellStyle name="Normal 2 2 3 25" xfId="5525"/>
    <cellStyle name="Normal 2 2 3 26" xfId="5526"/>
    <cellStyle name="Normal 2 2 3 27" xfId="5527"/>
    <cellStyle name="Normal 2 2 3 28" xfId="5528"/>
    <cellStyle name="Normal 2 2 3 29" xfId="5529"/>
    <cellStyle name="Normal 2 2 3 3" xfId="5530"/>
    <cellStyle name="Normal 2 2 3 3 10" xfId="5531"/>
    <cellStyle name="Normal 2 2 3 3 11" xfId="5532"/>
    <cellStyle name="Normal 2 2 3 3 12" xfId="5533"/>
    <cellStyle name="Normal 2 2 3 3 13" xfId="5534"/>
    <cellStyle name="Normal 2 2 3 3 14" xfId="5535"/>
    <cellStyle name="Normal 2 2 3 3 15" xfId="5536"/>
    <cellStyle name="Normal 2 2 3 3 16" xfId="5537"/>
    <cellStyle name="Normal 2 2 3 3 17" xfId="5538"/>
    <cellStyle name="Normal 2 2 3 3 18" xfId="5539"/>
    <cellStyle name="Normal 2 2 3 3 19" xfId="5540"/>
    <cellStyle name="Normal 2 2 3 3 2" xfId="5541"/>
    <cellStyle name="Normal 2 2 3 3 2 10" xfId="5542"/>
    <cellStyle name="Normal 2 2 3 3 2 11" xfId="5543"/>
    <cellStyle name="Normal 2 2 3 3 2 12" xfId="5544"/>
    <cellStyle name="Normal 2 2 3 3 2 13" xfId="5545"/>
    <cellStyle name="Normal 2 2 3 3 2 14" xfId="5546"/>
    <cellStyle name="Normal 2 2 3 3 2 15" xfId="5547"/>
    <cellStyle name="Normal 2 2 3 3 2 16" xfId="5548"/>
    <cellStyle name="Normal 2 2 3 3 2 17" xfId="5549"/>
    <cellStyle name="Normal 2 2 3 3 2 18" xfId="5550"/>
    <cellStyle name="Normal 2 2 3 3 2 19" xfId="5551"/>
    <cellStyle name="Normal 2 2 3 3 2 2" xfId="5552"/>
    <cellStyle name="Normal 2 2 3 3 2 20" xfId="5553"/>
    <cellStyle name="Normal 2 2 3 3 2 21" xfId="5554"/>
    <cellStyle name="Normal 2 2 3 3 2 22" xfId="5555"/>
    <cellStyle name="Normal 2 2 3 3 2 23" xfId="5556"/>
    <cellStyle name="Normal 2 2 3 3 2 24" xfId="5557"/>
    <cellStyle name="Normal 2 2 3 3 2 3" xfId="5558"/>
    <cellStyle name="Normal 2 2 3 3 2 4" xfId="5559"/>
    <cellStyle name="Normal 2 2 3 3 2 5" xfId="5560"/>
    <cellStyle name="Normal 2 2 3 3 2 6" xfId="5561"/>
    <cellStyle name="Normal 2 2 3 3 2 7" xfId="5562"/>
    <cellStyle name="Normal 2 2 3 3 2 8" xfId="5563"/>
    <cellStyle name="Normal 2 2 3 3 2 9" xfId="5564"/>
    <cellStyle name="Normal 2 2 3 3 20" xfId="5565"/>
    <cellStyle name="Normal 2 2 3 3 21" xfId="5566"/>
    <cellStyle name="Normal 2 2 3 3 22" xfId="5567"/>
    <cellStyle name="Normal 2 2 3 3 23" xfId="5568"/>
    <cellStyle name="Normal 2 2 3 3 3" xfId="5569"/>
    <cellStyle name="Normal 2 2 3 3 4" xfId="5570"/>
    <cellStyle name="Normal 2 2 3 3 5" xfId="5571"/>
    <cellStyle name="Normal 2 2 3 3 6" xfId="5572"/>
    <cellStyle name="Normal 2 2 3 3 7" xfId="5573"/>
    <cellStyle name="Normal 2 2 3 3 8" xfId="5574"/>
    <cellStyle name="Normal 2 2 3 3 9" xfId="5575"/>
    <cellStyle name="Normal 2 2 3 30" xfId="5576"/>
    <cellStyle name="Normal 2 2 3 31" xfId="5577"/>
    <cellStyle name="Normal 2 2 3 4" xfId="5578"/>
    <cellStyle name="Normal 2 2 3 5" xfId="5579"/>
    <cellStyle name="Normal 2 2 3 6" xfId="5580"/>
    <cellStyle name="Normal 2 2 3 7" xfId="5581"/>
    <cellStyle name="Normal 2 2 3 8" xfId="5582"/>
    <cellStyle name="Normal 2 2 3 9" xfId="5583"/>
    <cellStyle name="Normal 2 2 30" xfId="5584"/>
    <cellStyle name="Normal 2 2 30 10" xfId="5585"/>
    <cellStyle name="Normal 2 2 30 11" xfId="5586"/>
    <cellStyle name="Normal 2 2 30 12" xfId="5587"/>
    <cellStyle name="Normal 2 2 30 13" xfId="5588"/>
    <cellStyle name="Normal 2 2 30 14" xfId="5589"/>
    <cellStyle name="Normal 2 2 30 15" xfId="5590"/>
    <cellStyle name="Normal 2 2 30 16" xfId="5591"/>
    <cellStyle name="Normal 2 2 30 17" xfId="5592"/>
    <cellStyle name="Normal 2 2 30 18" xfId="5593"/>
    <cellStyle name="Normal 2 2 30 19" xfId="5594"/>
    <cellStyle name="Normal 2 2 30 2" xfId="5595"/>
    <cellStyle name="Normal 2 2 30 2 10" xfId="5596"/>
    <cellStyle name="Normal 2 2 30 2 11" xfId="5597"/>
    <cellStyle name="Normal 2 2 30 2 12" xfId="5598"/>
    <cellStyle name="Normal 2 2 30 2 13" xfId="5599"/>
    <cellStyle name="Normal 2 2 30 2 14" xfId="5600"/>
    <cellStyle name="Normal 2 2 30 2 15" xfId="5601"/>
    <cellStyle name="Normal 2 2 30 2 16" xfId="5602"/>
    <cellStyle name="Normal 2 2 30 2 17" xfId="5603"/>
    <cellStyle name="Normal 2 2 30 2 18" xfId="5604"/>
    <cellStyle name="Normal 2 2 30 2 19" xfId="5605"/>
    <cellStyle name="Normal 2 2 30 2 2" xfId="5606"/>
    <cellStyle name="Normal 2 2 30 2 20" xfId="5607"/>
    <cellStyle name="Normal 2 2 30 2 21" xfId="5608"/>
    <cellStyle name="Normal 2 2 30 2 22" xfId="5609"/>
    <cellStyle name="Normal 2 2 30 2 23" xfId="5610"/>
    <cellStyle name="Normal 2 2 30 2 24" xfId="5611"/>
    <cellStyle name="Normal 2 2 30 2 3" xfId="5612"/>
    <cellStyle name="Normal 2 2 30 2 4" xfId="5613"/>
    <cellStyle name="Normal 2 2 30 2 5" xfId="5614"/>
    <cellStyle name="Normal 2 2 30 2 6" xfId="5615"/>
    <cellStyle name="Normal 2 2 30 2 7" xfId="5616"/>
    <cellStyle name="Normal 2 2 30 2 8" xfId="5617"/>
    <cellStyle name="Normal 2 2 30 2 9" xfId="5618"/>
    <cellStyle name="Normal 2 2 30 20" xfId="5619"/>
    <cellStyle name="Normal 2 2 30 21" xfId="5620"/>
    <cellStyle name="Normal 2 2 30 22" xfId="5621"/>
    <cellStyle name="Normal 2 2 30 23" xfId="5622"/>
    <cellStyle name="Normal 2 2 30 3" xfId="5623"/>
    <cellStyle name="Normal 2 2 30 4" xfId="5624"/>
    <cellStyle name="Normal 2 2 30 5" xfId="5625"/>
    <cellStyle name="Normal 2 2 30 6" xfId="5626"/>
    <cellStyle name="Normal 2 2 30 7" xfId="5627"/>
    <cellStyle name="Normal 2 2 30 8" xfId="5628"/>
    <cellStyle name="Normal 2 2 30 9" xfId="5629"/>
    <cellStyle name="Normal 2 2 31" xfId="5630"/>
    <cellStyle name="Normal 2 2 32" xfId="5631"/>
    <cellStyle name="Normal 2 2 33" xfId="5632"/>
    <cellStyle name="Normal 2 2 34" xfId="5633"/>
    <cellStyle name="Normal 2 2 35" xfId="5634"/>
    <cellStyle name="Normal 2 2 36" xfId="5635"/>
    <cellStyle name="Normal 2 2 37" xfId="5636"/>
    <cellStyle name="Normal 2 2 38" xfId="5637"/>
    <cellStyle name="Normal 2 2 38 10" xfId="5638"/>
    <cellStyle name="Normal 2 2 38 11" xfId="5639"/>
    <cellStyle name="Normal 2 2 38 12" xfId="5640"/>
    <cellStyle name="Normal 2 2 38 13" xfId="5641"/>
    <cellStyle name="Normal 2 2 38 14" xfId="5642"/>
    <cellStyle name="Normal 2 2 38 15" xfId="5643"/>
    <cellStyle name="Normal 2 2 38 16" xfId="5644"/>
    <cellStyle name="Normal 2 2 38 17" xfId="5645"/>
    <cellStyle name="Normal 2 2 38 18" xfId="5646"/>
    <cellStyle name="Normal 2 2 38 19" xfId="5647"/>
    <cellStyle name="Normal 2 2 38 2" xfId="5648"/>
    <cellStyle name="Normal 2 2 38 20" xfId="5649"/>
    <cellStyle name="Normal 2 2 38 21" xfId="5650"/>
    <cellStyle name="Normal 2 2 38 22" xfId="5651"/>
    <cellStyle name="Normal 2 2 38 23" xfId="5652"/>
    <cellStyle name="Normal 2 2 38 3" xfId="5653"/>
    <cellStyle name="Normal 2 2 38 4" xfId="5654"/>
    <cellStyle name="Normal 2 2 38 5" xfId="5655"/>
    <cellStyle name="Normal 2 2 38 6" xfId="5656"/>
    <cellStyle name="Normal 2 2 38 7" xfId="5657"/>
    <cellStyle name="Normal 2 2 38 8" xfId="5658"/>
    <cellStyle name="Normal 2 2 38 9" xfId="5659"/>
    <cellStyle name="Normal 2 2 39" xfId="5660"/>
    <cellStyle name="Normal 2 2 39 10" xfId="5661"/>
    <cellStyle name="Normal 2 2 39 11" xfId="5662"/>
    <cellStyle name="Normal 2 2 39 12" xfId="5663"/>
    <cellStyle name="Normal 2 2 39 13" xfId="5664"/>
    <cellStyle name="Normal 2 2 39 14" xfId="5665"/>
    <cellStyle name="Normal 2 2 39 15" xfId="5666"/>
    <cellStyle name="Normal 2 2 39 16" xfId="5667"/>
    <cellStyle name="Normal 2 2 39 17" xfId="5668"/>
    <cellStyle name="Normal 2 2 39 18" xfId="5669"/>
    <cellStyle name="Normal 2 2 39 19" xfId="5670"/>
    <cellStyle name="Normal 2 2 39 2" xfId="5671"/>
    <cellStyle name="Normal 2 2 39 20" xfId="5672"/>
    <cellStyle name="Normal 2 2 39 21" xfId="5673"/>
    <cellStyle name="Normal 2 2 39 22" xfId="5674"/>
    <cellStyle name="Normal 2 2 39 23" xfId="5675"/>
    <cellStyle name="Normal 2 2 39 3" xfId="5676"/>
    <cellStyle name="Normal 2 2 39 4" xfId="5677"/>
    <cellStyle name="Normal 2 2 39 5" xfId="5678"/>
    <cellStyle name="Normal 2 2 39 6" xfId="5679"/>
    <cellStyle name="Normal 2 2 39 7" xfId="5680"/>
    <cellStyle name="Normal 2 2 39 8" xfId="5681"/>
    <cellStyle name="Normal 2 2 39 9" xfId="5682"/>
    <cellStyle name="Normal 2 2 4" xfId="5683"/>
    <cellStyle name="Normal 2 2 40" xfId="5684"/>
    <cellStyle name="Normal 2 2 40 10" xfId="5685"/>
    <cellStyle name="Normal 2 2 40 11" xfId="5686"/>
    <cellStyle name="Normal 2 2 40 12" xfId="5687"/>
    <cellStyle name="Normal 2 2 40 13" xfId="5688"/>
    <cellStyle name="Normal 2 2 40 14" xfId="5689"/>
    <cellStyle name="Normal 2 2 40 15" xfId="5690"/>
    <cellStyle name="Normal 2 2 40 16" xfId="5691"/>
    <cellStyle name="Normal 2 2 40 17" xfId="5692"/>
    <cellStyle name="Normal 2 2 40 18" xfId="5693"/>
    <cellStyle name="Normal 2 2 40 19" xfId="5694"/>
    <cellStyle name="Normal 2 2 40 2" xfId="5695"/>
    <cellStyle name="Normal 2 2 40 20" xfId="5696"/>
    <cellStyle name="Normal 2 2 40 21" xfId="5697"/>
    <cellStyle name="Normal 2 2 40 22" xfId="5698"/>
    <cellStyle name="Normal 2 2 40 23" xfId="5699"/>
    <cellStyle name="Normal 2 2 40 3" xfId="5700"/>
    <cellStyle name="Normal 2 2 40 4" xfId="5701"/>
    <cellStyle name="Normal 2 2 40 5" xfId="5702"/>
    <cellStyle name="Normal 2 2 40 6" xfId="5703"/>
    <cellStyle name="Normal 2 2 40 7" xfId="5704"/>
    <cellStyle name="Normal 2 2 40 8" xfId="5705"/>
    <cellStyle name="Normal 2 2 40 9" xfId="5706"/>
    <cellStyle name="Normal 2 2 41" xfId="5707"/>
    <cellStyle name="Normal 2 2 41 10" xfId="5708"/>
    <cellStyle name="Normal 2 2 41 11" xfId="5709"/>
    <cellStyle name="Normal 2 2 41 12" xfId="5710"/>
    <cellStyle name="Normal 2 2 41 13" xfId="5711"/>
    <cellStyle name="Normal 2 2 41 14" xfId="5712"/>
    <cellStyle name="Normal 2 2 41 15" xfId="5713"/>
    <cellStyle name="Normal 2 2 41 16" xfId="5714"/>
    <cellStyle name="Normal 2 2 41 17" xfId="5715"/>
    <cellStyle name="Normal 2 2 41 18" xfId="5716"/>
    <cellStyle name="Normal 2 2 41 19" xfId="5717"/>
    <cellStyle name="Normal 2 2 41 2" xfId="5718"/>
    <cellStyle name="Normal 2 2 41 20" xfId="5719"/>
    <cellStyle name="Normal 2 2 41 21" xfId="5720"/>
    <cellStyle name="Normal 2 2 41 22" xfId="5721"/>
    <cellStyle name="Normal 2 2 41 23" xfId="5722"/>
    <cellStyle name="Normal 2 2 41 3" xfId="5723"/>
    <cellStyle name="Normal 2 2 41 4" xfId="5724"/>
    <cellStyle name="Normal 2 2 41 5" xfId="5725"/>
    <cellStyle name="Normal 2 2 41 6" xfId="5726"/>
    <cellStyle name="Normal 2 2 41 7" xfId="5727"/>
    <cellStyle name="Normal 2 2 41 8" xfId="5728"/>
    <cellStyle name="Normal 2 2 41 9" xfId="5729"/>
    <cellStyle name="Normal 2 2 42" xfId="5730"/>
    <cellStyle name="Normal 2 2 42 10" xfId="5731"/>
    <cellStyle name="Normal 2 2 42 11" xfId="5732"/>
    <cellStyle name="Normal 2 2 42 12" xfId="5733"/>
    <cellStyle name="Normal 2 2 42 13" xfId="5734"/>
    <cellStyle name="Normal 2 2 42 14" xfId="5735"/>
    <cellStyle name="Normal 2 2 42 15" xfId="5736"/>
    <cellStyle name="Normal 2 2 42 16" xfId="5737"/>
    <cellStyle name="Normal 2 2 42 17" xfId="5738"/>
    <cellStyle name="Normal 2 2 42 18" xfId="5739"/>
    <cellStyle name="Normal 2 2 42 19" xfId="5740"/>
    <cellStyle name="Normal 2 2 42 2" xfId="5741"/>
    <cellStyle name="Normal 2 2 42 20" xfId="5742"/>
    <cellStyle name="Normal 2 2 42 21" xfId="5743"/>
    <cellStyle name="Normal 2 2 42 22" xfId="5744"/>
    <cellStyle name="Normal 2 2 42 23" xfId="5745"/>
    <cellStyle name="Normal 2 2 42 3" xfId="5746"/>
    <cellStyle name="Normal 2 2 42 4" xfId="5747"/>
    <cellStyle name="Normal 2 2 42 5" xfId="5748"/>
    <cellStyle name="Normal 2 2 42 6" xfId="5749"/>
    <cellStyle name="Normal 2 2 42 7" xfId="5750"/>
    <cellStyle name="Normal 2 2 42 8" xfId="5751"/>
    <cellStyle name="Normal 2 2 42 9" xfId="5752"/>
    <cellStyle name="Normal 2 2 43" xfId="5753"/>
    <cellStyle name="Normal 2 2 43 10" xfId="5754"/>
    <cellStyle name="Normal 2 2 43 11" xfId="5755"/>
    <cellStyle name="Normal 2 2 43 12" xfId="5756"/>
    <cellStyle name="Normal 2 2 43 13" xfId="5757"/>
    <cellStyle name="Normal 2 2 43 14" xfId="5758"/>
    <cellStyle name="Normal 2 2 43 15" xfId="5759"/>
    <cellStyle name="Normal 2 2 43 16" xfId="5760"/>
    <cellStyle name="Normal 2 2 43 17" xfId="5761"/>
    <cellStyle name="Normal 2 2 43 18" xfId="5762"/>
    <cellStyle name="Normal 2 2 43 19" xfId="5763"/>
    <cellStyle name="Normal 2 2 43 2" xfId="5764"/>
    <cellStyle name="Normal 2 2 43 20" xfId="5765"/>
    <cellStyle name="Normal 2 2 43 21" xfId="5766"/>
    <cellStyle name="Normal 2 2 43 22" xfId="5767"/>
    <cellStyle name="Normal 2 2 43 23" xfId="5768"/>
    <cellStyle name="Normal 2 2 43 3" xfId="5769"/>
    <cellStyle name="Normal 2 2 43 4" xfId="5770"/>
    <cellStyle name="Normal 2 2 43 5" xfId="5771"/>
    <cellStyle name="Normal 2 2 43 6" xfId="5772"/>
    <cellStyle name="Normal 2 2 43 7" xfId="5773"/>
    <cellStyle name="Normal 2 2 43 8" xfId="5774"/>
    <cellStyle name="Normal 2 2 43 9" xfId="5775"/>
    <cellStyle name="Normal 2 2 44" xfId="5776"/>
    <cellStyle name="Normal 2 2 44 10" xfId="5777"/>
    <cellStyle name="Normal 2 2 44 11" xfId="5778"/>
    <cellStyle name="Normal 2 2 44 12" xfId="5779"/>
    <cellStyle name="Normal 2 2 44 13" xfId="5780"/>
    <cellStyle name="Normal 2 2 44 14" xfId="5781"/>
    <cellStyle name="Normal 2 2 44 15" xfId="5782"/>
    <cellStyle name="Normal 2 2 44 16" xfId="5783"/>
    <cellStyle name="Normal 2 2 44 17" xfId="5784"/>
    <cellStyle name="Normal 2 2 44 18" xfId="5785"/>
    <cellStyle name="Normal 2 2 44 19" xfId="5786"/>
    <cellStyle name="Normal 2 2 44 2" xfId="5787"/>
    <cellStyle name="Normal 2 2 44 20" xfId="5788"/>
    <cellStyle name="Normal 2 2 44 21" xfId="5789"/>
    <cellStyle name="Normal 2 2 44 22" xfId="5790"/>
    <cellStyle name="Normal 2 2 44 23" xfId="5791"/>
    <cellStyle name="Normal 2 2 44 3" xfId="5792"/>
    <cellStyle name="Normal 2 2 44 4" xfId="5793"/>
    <cellStyle name="Normal 2 2 44 5" xfId="5794"/>
    <cellStyle name="Normal 2 2 44 6" xfId="5795"/>
    <cellStyle name="Normal 2 2 44 7" xfId="5796"/>
    <cellStyle name="Normal 2 2 44 8" xfId="5797"/>
    <cellStyle name="Normal 2 2 44 9" xfId="5798"/>
    <cellStyle name="Normal 2 2 45" xfId="5799"/>
    <cellStyle name="Normal 2 2 45 10" xfId="5800"/>
    <cellStyle name="Normal 2 2 45 11" xfId="5801"/>
    <cellStyle name="Normal 2 2 45 12" xfId="5802"/>
    <cellStyle name="Normal 2 2 45 13" xfId="5803"/>
    <cellStyle name="Normal 2 2 45 14" xfId="5804"/>
    <cellStyle name="Normal 2 2 45 15" xfId="5805"/>
    <cellStyle name="Normal 2 2 45 16" xfId="5806"/>
    <cellStyle name="Normal 2 2 45 17" xfId="5807"/>
    <cellStyle name="Normal 2 2 45 18" xfId="5808"/>
    <cellStyle name="Normal 2 2 45 19" xfId="5809"/>
    <cellStyle name="Normal 2 2 45 2" xfId="5810"/>
    <cellStyle name="Normal 2 2 45 20" xfId="5811"/>
    <cellStyle name="Normal 2 2 45 21" xfId="5812"/>
    <cellStyle name="Normal 2 2 45 22" xfId="5813"/>
    <cellStyle name="Normal 2 2 45 23" xfId="5814"/>
    <cellStyle name="Normal 2 2 45 3" xfId="5815"/>
    <cellStyle name="Normal 2 2 45 4" xfId="5816"/>
    <cellStyle name="Normal 2 2 45 5" xfId="5817"/>
    <cellStyle name="Normal 2 2 45 6" xfId="5818"/>
    <cellStyle name="Normal 2 2 45 7" xfId="5819"/>
    <cellStyle name="Normal 2 2 45 8" xfId="5820"/>
    <cellStyle name="Normal 2 2 45 9" xfId="5821"/>
    <cellStyle name="Normal 2 2 46" xfId="5822"/>
    <cellStyle name="Normal 2 2 46 2" xfId="5823"/>
    <cellStyle name="Normal 2 2 47" xfId="5824"/>
    <cellStyle name="Normal 2 2 47 2" xfId="5825"/>
    <cellStyle name="Normal 2 2 48" xfId="5826"/>
    <cellStyle name="Normal 2 2 48 2" xfId="5827"/>
    <cellStyle name="Normal 2 2 49" xfId="5828"/>
    <cellStyle name="Normal 2 2 49 2" xfId="5829"/>
    <cellStyle name="Normal 2 2 5" xfId="5830"/>
    <cellStyle name="Normal 2 2 5 10" xfId="5831"/>
    <cellStyle name="Normal 2 2 5 11" xfId="5832"/>
    <cellStyle name="Normal 2 2 5 12" xfId="5833"/>
    <cellStyle name="Normal 2 2 5 13" xfId="5834"/>
    <cellStyle name="Normal 2 2 5 14" xfId="5835"/>
    <cellStyle name="Normal 2 2 5 15" xfId="5836"/>
    <cellStyle name="Normal 2 2 5 16" xfId="5837"/>
    <cellStyle name="Normal 2 2 5 17" xfId="5838"/>
    <cellStyle name="Normal 2 2 5 18" xfId="5839"/>
    <cellStyle name="Normal 2 2 5 19" xfId="5840"/>
    <cellStyle name="Normal 2 2 5 2" xfId="5841"/>
    <cellStyle name="Normal 2 2 5 2 10" xfId="5842"/>
    <cellStyle name="Normal 2 2 5 2 11" xfId="5843"/>
    <cellStyle name="Normal 2 2 5 2 12" xfId="5844"/>
    <cellStyle name="Normal 2 2 5 2 13" xfId="5845"/>
    <cellStyle name="Normal 2 2 5 2 14" xfId="5846"/>
    <cellStyle name="Normal 2 2 5 2 15" xfId="5847"/>
    <cellStyle name="Normal 2 2 5 2 16" xfId="5848"/>
    <cellStyle name="Normal 2 2 5 2 17" xfId="5849"/>
    <cellStyle name="Normal 2 2 5 2 18" xfId="5850"/>
    <cellStyle name="Normal 2 2 5 2 19" xfId="5851"/>
    <cellStyle name="Normal 2 2 5 2 2" xfId="5852"/>
    <cellStyle name="Normal 2 2 5 2 20" xfId="5853"/>
    <cellStyle name="Normal 2 2 5 2 21" xfId="5854"/>
    <cellStyle name="Normal 2 2 5 2 22" xfId="5855"/>
    <cellStyle name="Normal 2 2 5 2 23" xfId="5856"/>
    <cellStyle name="Normal 2 2 5 2 24" xfId="5857"/>
    <cellStyle name="Normal 2 2 5 2 25" xfId="5858"/>
    <cellStyle name="Normal 2 2 5 2 26" xfId="5859"/>
    <cellStyle name="Normal 2 2 5 2 27" xfId="5860"/>
    <cellStyle name="Normal 2 2 5 2 28" xfId="5861"/>
    <cellStyle name="Normal 2 2 5 2 29" xfId="5862"/>
    <cellStyle name="Normal 2 2 5 2 3" xfId="5863"/>
    <cellStyle name="Normal 2 2 5 2 30" xfId="5864"/>
    <cellStyle name="Normal 2 2 5 2 31" xfId="5865"/>
    <cellStyle name="Normal 2 2 5 2 32" xfId="5866"/>
    <cellStyle name="Normal 2 2 5 2 4" xfId="5867"/>
    <cellStyle name="Normal 2 2 5 2 5" xfId="5868"/>
    <cellStyle name="Normal 2 2 5 2 6" xfId="5869"/>
    <cellStyle name="Normal 2 2 5 2 7" xfId="5870"/>
    <cellStyle name="Normal 2 2 5 2 8" xfId="5871"/>
    <cellStyle name="Normal 2 2 5 2 9" xfId="5872"/>
    <cellStyle name="Normal 2 2 5 20" xfId="5873"/>
    <cellStyle name="Normal 2 2 5 21" xfId="5874"/>
    <cellStyle name="Normal 2 2 5 22" xfId="5875"/>
    <cellStyle name="Normal 2 2 5 23" xfId="5876"/>
    <cellStyle name="Normal 2 2 5 24" xfId="5877"/>
    <cellStyle name="Normal 2 2 5 25" xfId="5878"/>
    <cellStyle name="Normal 2 2 5 26" xfId="5879"/>
    <cellStyle name="Normal 2 2 5 27" xfId="5880"/>
    <cellStyle name="Normal 2 2 5 28" xfId="5881"/>
    <cellStyle name="Normal 2 2 5 29" xfId="5882"/>
    <cellStyle name="Normal 2 2 5 3" xfId="5883"/>
    <cellStyle name="Normal 2 2 5 30" xfId="5884"/>
    <cellStyle name="Normal 2 2 5 31" xfId="5885"/>
    <cellStyle name="Normal 2 2 5 4" xfId="5886"/>
    <cellStyle name="Normal 2 2 5 5" xfId="5887"/>
    <cellStyle name="Normal 2 2 5 6" xfId="5888"/>
    <cellStyle name="Normal 2 2 5 7" xfId="5889"/>
    <cellStyle name="Normal 2 2 5 8" xfId="5890"/>
    <cellStyle name="Normal 2 2 5 9" xfId="5891"/>
    <cellStyle name="Normal 2 2 50" xfId="5892"/>
    <cellStyle name="Normal 2 2 50 2" xfId="5893"/>
    <cellStyle name="Normal 2 2 51" xfId="5894"/>
    <cellStyle name="Normal 2 2 51 2" xfId="5895"/>
    <cellStyle name="Normal 2 2 52" xfId="5896"/>
    <cellStyle name="Normal 2 2 52 2" xfId="5897"/>
    <cellStyle name="Normal 2 2 53" xfId="5898"/>
    <cellStyle name="Normal 2 2 53 2" xfId="5899"/>
    <cellStyle name="Normal 2 2 54" xfId="5900"/>
    <cellStyle name="Normal 2 2 54 2" xfId="5901"/>
    <cellStyle name="Normal 2 2 55" xfId="5902"/>
    <cellStyle name="Normal 2 2 55 2" xfId="5903"/>
    <cellStyle name="Normal 2 2 56" xfId="5904"/>
    <cellStyle name="Normal 2 2 56 2" xfId="5905"/>
    <cellStyle name="Normal 2 2 57" xfId="5906"/>
    <cellStyle name="Normal 2 2 57 2" xfId="5907"/>
    <cellStyle name="Normal 2 2 58" xfId="5908"/>
    <cellStyle name="Normal 2 2 58 2" xfId="5909"/>
    <cellStyle name="Normal 2 2 59" xfId="5910"/>
    <cellStyle name="Normal 2 2 59 2" xfId="5911"/>
    <cellStyle name="Normal 2 2 6" xfId="5912"/>
    <cellStyle name="Normal 2 2 6 10" xfId="5913"/>
    <cellStyle name="Normal 2 2 6 11" xfId="5914"/>
    <cellStyle name="Normal 2 2 6 12" xfId="5915"/>
    <cellStyle name="Normal 2 2 6 13" xfId="5916"/>
    <cellStyle name="Normal 2 2 6 14" xfId="5917"/>
    <cellStyle name="Normal 2 2 6 15" xfId="5918"/>
    <cellStyle name="Normal 2 2 6 16" xfId="5919"/>
    <cellStyle name="Normal 2 2 6 17" xfId="5920"/>
    <cellStyle name="Normal 2 2 6 18" xfId="5921"/>
    <cellStyle name="Normal 2 2 6 19" xfId="5922"/>
    <cellStyle name="Normal 2 2 6 2" xfId="5923"/>
    <cellStyle name="Normal 2 2 6 2 10" xfId="5924"/>
    <cellStyle name="Normal 2 2 6 2 11" xfId="5925"/>
    <cellStyle name="Normal 2 2 6 2 12" xfId="5926"/>
    <cellStyle name="Normal 2 2 6 2 13" xfId="5927"/>
    <cellStyle name="Normal 2 2 6 2 14" xfId="5928"/>
    <cellStyle name="Normal 2 2 6 2 15" xfId="5929"/>
    <cellStyle name="Normal 2 2 6 2 16" xfId="5930"/>
    <cellStyle name="Normal 2 2 6 2 17" xfId="5931"/>
    <cellStyle name="Normal 2 2 6 2 18" xfId="5932"/>
    <cellStyle name="Normal 2 2 6 2 19" xfId="5933"/>
    <cellStyle name="Normal 2 2 6 2 2" xfId="5934"/>
    <cellStyle name="Normal 2 2 6 2 20" xfId="5935"/>
    <cellStyle name="Normal 2 2 6 2 21" xfId="5936"/>
    <cellStyle name="Normal 2 2 6 2 22" xfId="5937"/>
    <cellStyle name="Normal 2 2 6 2 23" xfId="5938"/>
    <cellStyle name="Normal 2 2 6 2 24" xfId="5939"/>
    <cellStyle name="Normal 2 2 6 2 25" xfId="5940"/>
    <cellStyle name="Normal 2 2 6 2 26" xfId="5941"/>
    <cellStyle name="Normal 2 2 6 2 27" xfId="5942"/>
    <cellStyle name="Normal 2 2 6 2 28" xfId="5943"/>
    <cellStyle name="Normal 2 2 6 2 29" xfId="5944"/>
    <cellStyle name="Normal 2 2 6 2 3" xfId="5945"/>
    <cellStyle name="Normal 2 2 6 2 30" xfId="5946"/>
    <cellStyle name="Normal 2 2 6 2 31" xfId="5947"/>
    <cellStyle name="Normal 2 2 6 2 32" xfId="5948"/>
    <cellStyle name="Normal 2 2 6 2 4" xfId="5949"/>
    <cellStyle name="Normal 2 2 6 2 5" xfId="5950"/>
    <cellStyle name="Normal 2 2 6 2 6" xfId="5951"/>
    <cellStyle name="Normal 2 2 6 2 7" xfId="5952"/>
    <cellStyle name="Normal 2 2 6 2 8" xfId="5953"/>
    <cellStyle name="Normal 2 2 6 2 9" xfId="5954"/>
    <cellStyle name="Normal 2 2 6 20" xfId="5955"/>
    <cellStyle name="Normal 2 2 6 21" xfId="5956"/>
    <cellStyle name="Normal 2 2 6 22" xfId="5957"/>
    <cellStyle name="Normal 2 2 6 23" xfId="5958"/>
    <cellStyle name="Normal 2 2 6 24" xfId="5959"/>
    <cellStyle name="Normal 2 2 6 25" xfId="5960"/>
    <cellStyle name="Normal 2 2 6 26" xfId="5961"/>
    <cellStyle name="Normal 2 2 6 27" xfId="5962"/>
    <cellStyle name="Normal 2 2 6 28" xfId="5963"/>
    <cellStyle name="Normal 2 2 6 29" xfId="5964"/>
    <cellStyle name="Normal 2 2 6 3" xfId="5965"/>
    <cellStyle name="Normal 2 2 6 3 2" xfId="5966"/>
    <cellStyle name="Normal 2 2 6 3 2 2" xfId="5967"/>
    <cellStyle name="Normal 2 2 6 3 3" xfId="5968"/>
    <cellStyle name="Normal 2 2 6 3 3 2" xfId="5969"/>
    <cellStyle name="Normal 2 2 6 30" xfId="5970"/>
    <cellStyle name="Normal 2 2 6 31" xfId="5971"/>
    <cellStyle name="Normal 2 2 6 4" xfId="5972"/>
    <cellStyle name="Normal 2 2 6 5" xfId="5973"/>
    <cellStyle name="Normal 2 2 6 6" xfId="5974"/>
    <cellStyle name="Normal 2 2 6 7" xfId="5975"/>
    <cellStyle name="Normal 2 2 6 8" xfId="5976"/>
    <cellStyle name="Normal 2 2 6 9" xfId="5977"/>
    <cellStyle name="Normal 2 2 60" xfId="5978"/>
    <cellStyle name="Normal 2 2 60 2" xfId="5979"/>
    <cellStyle name="Normal 2 2 61" xfId="5980"/>
    <cellStyle name="Normal 2 2 62" xfId="5981"/>
    <cellStyle name="Normal 2 2 63" xfId="5982"/>
    <cellStyle name="Normal 2 2 64" xfId="5983"/>
    <cellStyle name="Normal 2 2 65" xfId="5984"/>
    <cellStyle name="Normal 2 2 66" xfId="5985"/>
    <cellStyle name="Normal 2 2 67" xfId="5986"/>
    <cellStyle name="Normal 2 2 68" xfId="5987"/>
    <cellStyle name="Normal 2 2 69" xfId="5988"/>
    <cellStyle name="Normal 2 2 7" xfId="5989"/>
    <cellStyle name="Normal 2 2 7 10" xfId="5990"/>
    <cellStyle name="Normal 2 2 7 11" xfId="5991"/>
    <cellStyle name="Normal 2 2 7 12" xfId="5992"/>
    <cellStyle name="Normal 2 2 7 13" xfId="5993"/>
    <cellStyle name="Normal 2 2 7 14" xfId="5994"/>
    <cellStyle name="Normal 2 2 7 15" xfId="5995"/>
    <cellStyle name="Normal 2 2 7 16" xfId="5996"/>
    <cellStyle name="Normal 2 2 7 17" xfId="5997"/>
    <cellStyle name="Normal 2 2 7 18" xfId="5998"/>
    <cellStyle name="Normal 2 2 7 19" xfId="5999"/>
    <cellStyle name="Normal 2 2 7 2" xfId="6000"/>
    <cellStyle name="Normal 2 2 7 2 10" xfId="6001"/>
    <cellStyle name="Normal 2 2 7 2 11" xfId="6002"/>
    <cellStyle name="Normal 2 2 7 2 12" xfId="6003"/>
    <cellStyle name="Normal 2 2 7 2 13" xfId="6004"/>
    <cellStyle name="Normal 2 2 7 2 14" xfId="6005"/>
    <cellStyle name="Normal 2 2 7 2 15" xfId="6006"/>
    <cellStyle name="Normal 2 2 7 2 16" xfId="6007"/>
    <cellStyle name="Normal 2 2 7 2 17" xfId="6008"/>
    <cellStyle name="Normal 2 2 7 2 18" xfId="6009"/>
    <cellStyle name="Normal 2 2 7 2 19" xfId="6010"/>
    <cellStyle name="Normal 2 2 7 2 2" xfId="6011"/>
    <cellStyle name="Normal 2 2 7 2 20" xfId="6012"/>
    <cellStyle name="Normal 2 2 7 2 21" xfId="6013"/>
    <cellStyle name="Normal 2 2 7 2 22" xfId="6014"/>
    <cellStyle name="Normal 2 2 7 2 23" xfId="6015"/>
    <cellStyle name="Normal 2 2 7 2 24" xfId="6016"/>
    <cellStyle name="Normal 2 2 7 2 25" xfId="6017"/>
    <cellStyle name="Normal 2 2 7 2 26" xfId="6018"/>
    <cellStyle name="Normal 2 2 7 2 27" xfId="6019"/>
    <cellStyle name="Normal 2 2 7 2 28" xfId="6020"/>
    <cellStyle name="Normal 2 2 7 2 29" xfId="6021"/>
    <cellStyle name="Normal 2 2 7 2 3" xfId="6022"/>
    <cellStyle name="Normal 2 2 7 2 30" xfId="6023"/>
    <cellStyle name="Normal 2 2 7 2 31" xfId="6024"/>
    <cellStyle name="Normal 2 2 7 2 32" xfId="6025"/>
    <cellStyle name="Normal 2 2 7 2 4" xfId="6026"/>
    <cellStyle name="Normal 2 2 7 2 5" xfId="6027"/>
    <cellStyle name="Normal 2 2 7 2 6" xfId="6028"/>
    <cellStyle name="Normal 2 2 7 2 7" xfId="6029"/>
    <cellStyle name="Normal 2 2 7 2 8" xfId="6030"/>
    <cellStyle name="Normal 2 2 7 2 9" xfId="6031"/>
    <cellStyle name="Normal 2 2 7 20" xfId="6032"/>
    <cellStyle name="Normal 2 2 7 21" xfId="6033"/>
    <cellStyle name="Normal 2 2 7 22" xfId="6034"/>
    <cellStyle name="Normal 2 2 7 23" xfId="6035"/>
    <cellStyle name="Normal 2 2 7 24" xfId="6036"/>
    <cellStyle name="Normal 2 2 7 25" xfId="6037"/>
    <cellStyle name="Normal 2 2 7 26" xfId="6038"/>
    <cellStyle name="Normal 2 2 7 27" xfId="6039"/>
    <cellStyle name="Normal 2 2 7 28" xfId="6040"/>
    <cellStyle name="Normal 2 2 7 29" xfId="6041"/>
    <cellStyle name="Normal 2 2 7 3" xfId="6042"/>
    <cellStyle name="Normal 2 2 7 30" xfId="6043"/>
    <cellStyle name="Normal 2 2 7 31" xfId="6044"/>
    <cellStyle name="Normal 2 2 7 4" xfId="6045"/>
    <cellStyle name="Normal 2 2 7 5" xfId="6046"/>
    <cellStyle name="Normal 2 2 7 6" xfId="6047"/>
    <cellStyle name="Normal 2 2 7 7" xfId="6048"/>
    <cellStyle name="Normal 2 2 7 8" xfId="6049"/>
    <cellStyle name="Normal 2 2 7 9" xfId="6050"/>
    <cellStyle name="Normal 2 2 70" xfId="6051"/>
    <cellStyle name="Normal 2 2 8" xfId="6052"/>
    <cellStyle name="Normal 2 2 8 10" xfId="6053"/>
    <cellStyle name="Normal 2 2 8 11" xfId="6054"/>
    <cellStyle name="Normal 2 2 8 12" xfId="6055"/>
    <cellStyle name="Normal 2 2 8 13" xfId="6056"/>
    <cellStyle name="Normal 2 2 8 14" xfId="6057"/>
    <cellStyle name="Normal 2 2 8 15" xfId="6058"/>
    <cellStyle name="Normal 2 2 8 16" xfId="6059"/>
    <cellStyle name="Normal 2 2 8 17" xfId="6060"/>
    <cellStyle name="Normal 2 2 8 18" xfId="6061"/>
    <cellStyle name="Normal 2 2 8 19" xfId="6062"/>
    <cellStyle name="Normal 2 2 8 2" xfId="6063"/>
    <cellStyle name="Normal 2 2 8 20" xfId="6064"/>
    <cellStyle name="Normal 2 2 8 21" xfId="6065"/>
    <cellStyle name="Normal 2 2 8 22" xfId="6066"/>
    <cellStyle name="Normal 2 2 8 23" xfId="6067"/>
    <cellStyle name="Normal 2 2 8 24" xfId="6068"/>
    <cellStyle name="Normal 2 2 8 25" xfId="6069"/>
    <cellStyle name="Normal 2 2 8 26" xfId="6070"/>
    <cellStyle name="Normal 2 2 8 27" xfId="6071"/>
    <cellStyle name="Normal 2 2 8 28" xfId="6072"/>
    <cellStyle name="Normal 2 2 8 29" xfId="6073"/>
    <cellStyle name="Normal 2 2 8 3" xfId="6074"/>
    <cellStyle name="Normal 2 2 8 30" xfId="6075"/>
    <cellStyle name="Normal 2 2 8 31" xfId="6076"/>
    <cellStyle name="Normal 2 2 8 32" xfId="6077"/>
    <cellStyle name="Normal 2 2 8 4" xfId="6078"/>
    <cellStyle name="Normal 2 2 8 5" xfId="6079"/>
    <cellStyle name="Normal 2 2 8 6" xfId="6080"/>
    <cellStyle name="Normal 2 2 8 7" xfId="6081"/>
    <cellStyle name="Normal 2 2 8 8" xfId="6082"/>
    <cellStyle name="Normal 2 2 8 9" xfId="6083"/>
    <cellStyle name="Normal 2 2 9" xfId="6084"/>
    <cellStyle name="Normal 2 2_ACES Shortcut" xfId="6085"/>
    <cellStyle name="Normal 2 20" xfId="6086"/>
    <cellStyle name="Normal 2 20 10" xfId="6087"/>
    <cellStyle name="Normal 2 20 11" xfId="6088"/>
    <cellStyle name="Normal 2 20 12" xfId="6089"/>
    <cellStyle name="Normal 2 20 13" xfId="6090"/>
    <cellStyle name="Normal 2 20 14" xfId="6091"/>
    <cellStyle name="Normal 2 20 15" xfId="6092"/>
    <cellStyle name="Normal 2 20 16" xfId="6093"/>
    <cellStyle name="Normal 2 20 17" xfId="6094"/>
    <cellStyle name="Normal 2 20 18" xfId="6095"/>
    <cellStyle name="Normal 2 20 19" xfId="6096"/>
    <cellStyle name="Normal 2 20 2" xfId="6097"/>
    <cellStyle name="Normal 2 20 20" xfId="6098"/>
    <cellStyle name="Normal 2 20 21" xfId="6099"/>
    <cellStyle name="Normal 2 20 22" xfId="6100"/>
    <cellStyle name="Normal 2 20 23" xfId="6101"/>
    <cellStyle name="Normal 2 20 3" xfId="6102"/>
    <cellStyle name="Normal 2 20 4" xfId="6103"/>
    <cellStyle name="Normal 2 20 5" xfId="6104"/>
    <cellStyle name="Normal 2 20 6" xfId="6105"/>
    <cellStyle name="Normal 2 20 7" xfId="6106"/>
    <cellStyle name="Normal 2 20 8" xfId="6107"/>
    <cellStyle name="Normal 2 20 9" xfId="6108"/>
    <cellStyle name="Normal 2 21" xfId="6109"/>
    <cellStyle name="Normal 2 21 10" xfId="6110"/>
    <cellStyle name="Normal 2 21 11" xfId="6111"/>
    <cellStyle name="Normal 2 21 12" xfId="6112"/>
    <cellStyle name="Normal 2 21 13" xfId="6113"/>
    <cellStyle name="Normal 2 21 14" xfId="6114"/>
    <cellStyle name="Normal 2 21 15" xfId="6115"/>
    <cellStyle name="Normal 2 21 16" xfId="6116"/>
    <cellStyle name="Normal 2 21 17" xfId="6117"/>
    <cellStyle name="Normal 2 21 18" xfId="6118"/>
    <cellStyle name="Normal 2 21 19" xfId="6119"/>
    <cellStyle name="Normal 2 21 2" xfId="6120"/>
    <cellStyle name="Normal 2 21 20" xfId="6121"/>
    <cellStyle name="Normal 2 21 21" xfId="6122"/>
    <cellStyle name="Normal 2 21 22" xfId="6123"/>
    <cellStyle name="Normal 2 21 23" xfId="6124"/>
    <cellStyle name="Normal 2 21 3" xfId="6125"/>
    <cellStyle name="Normal 2 21 4" xfId="6126"/>
    <cellStyle name="Normal 2 21 5" xfId="6127"/>
    <cellStyle name="Normal 2 21 6" xfId="6128"/>
    <cellStyle name="Normal 2 21 7" xfId="6129"/>
    <cellStyle name="Normal 2 21 8" xfId="6130"/>
    <cellStyle name="Normal 2 21 9" xfId="6131"/>
    <cellStyle name="Normal 2 22" xfId="6132"/>
    <cellStyle name="Normal 2 22 10" xfId="6133"/>
    <cellStyle name="Normal 2 22 11" xfId="6134"/>
    <cellStyle name="Normal 2 22 12" xfId="6135"/>
    <cellStyle name="Normal 2 22 13" xfId="6136"/>
    <cellStyle name="Normal 2 22 14" xfId="6137"/>
    <cellStyle name="Normal 2 22 15" xfId="6138"/>
    <cellStyle name="Normal 2 22 16" xfId="6139"/>
    <cellStyle name="Normal 2 22 17" xfId="6140"/>
    <cellStyle name="Normal 2 22 18" xfId="6141"/>
    <cellStyle name="Normal 2 22 19" xfId="6142"/>
    <cellStyle name="Normal 2 22 2" xfId="6143"/>
    <cellStyle name="Normal 2 22 20" xfId="6144"/>
    <cellStyle name="Normal 2 22 21" xfId="6145"/>
    <cellStyle name="Normal 2 22 22" xfId="6146"/>
    <cellStyle name="Normal 2 22 23" xfId="6147"/>
    <cellStyle name="Normal 2 22 3" xfId="6148"/>
    <cellStyle name="Normal 2 22 4" xfId="6149"/>
    <cellStyle name="Normal 2 22 5" xfId="6150"/>
    <cellStyle name="Normal 2 22 6" xfId="6151"/>
    <cellStyle name="Normal 2 22 7" xfId="6152"/>
    <cellStyle name="Normal 2 22 8" xfId="6153"/>
    <cellStyle name="Normal 2 22 9" xfId="6154"/>
    <cellStyle name="Normal 2 23" xfId="6155"/>
    <cellStyle name="Normal 2 24" xfId="6156"/>
    <cellStyle name="Normal 2 24 2" xfId="6157"/>
    <cellStyle name="Normal 2 25" xfId="6158"/>
    <cellStyle name="Normal 2 25 2" xfId="6159"/>
    <cellStyle name="Normal 2 26" xfId="6160"/>
    <cellStyle name="Normal 2 26 2" xfId="6161"/>
    <cellStyle name="Normal 2 27" xfId="6162"/>
    <cellStyle name="Normal 2 27 2" xfId="6163"/>
    <cellStyle name="Normal 2 28" xfId="6164"/>
    <cellStyle name="Normal 2 28 2" xfId="6165"/>
    <cellStyle name="Normal 2 29" xfId="6166"/>
    <cellStyle name="Normal 2 29 2" xfId="6167"/>
    <cellStyle name="Normal 2 29 3" xfId="6168"/>
    <cellStyle name="Normal 2 29 3 2" xfId="6169"/>
    <cellStyle name="Normal 2 29 4" xfId="6170"/>
    <cellStyle name="Normal 2 29 4 2" xfId="6171"/>
    <cellStyle name="Normal 2 3" xfId="6172"/>
    <cellStyle name="Normal 2 3 10" xfId="6173"/>
    <cellStyle name="Normal 2 3 11" xfId="6174"/>
    <cellStyle name="Normal 2 3 12" xfId="6175"/>
    <cellStyle name="Normal 2 3 13" xfId="6176"/>
    <cellStyle name="Normal 2 3 14" xfId="6177"/>
    <cellStyle name="Normal 2 3 15" xfId="6178"/>
    <cellStyle name="Normal 2 3 16" xfId="6179"/>
    <cellStyle name="Normal 2 3 17" xfId="6180"/>
    <cellStyle name="Normal 2 3 18" xfId="6181"/>
    <cellStyle name="Normal 2 3 19" xfId="6182"/>
    <cellStyle name="Normal 2 3 2" xfId="6183"/>
    <cellStyle name="Normal 2 3 2 10" xfId="6184"/>
    <cellStyle name="Normal 2 3 2 11" xfId="6185"/>
    <cellStyle name="Normal 2 3 2 12" xfId="6186"/>
    <cellStyle name="Normal 2 3 2 13" xfId="6187"/>
    <cellStyle name="Normal 2 3 2 14" xfId="6188"/>
    <cellStyle name="Normal 2 3 2 15" xfId="6189"/>
    <cellStyle name="Normal 2 3 2 16" xfId="6190"/>
    <cellStyle name="Normal 2 3 2 17" xfId="6191"/>
    <cellStyle name="Normal 2 3 2 18" xfId="6192"/>
    <cellStyle name="Normal 2 3 2 19" xfId="6193"/>
    <cellStyle name="Normal 2 3 2 2" xfId="6194"/>
    <cellStyle name="Normal 2 3 2 2 10" xfId="6195"/>
    <cellStyle name="Normal 2 3 2 2 11" xfId="6196"/>
    <cellStyle name="Normal 2 3 2 2 12" xfId="6197"/>
    <cellStyle name="Normal 2 3 2 2 13" xfId="6198"/>
    <cellStyle name="Normal 2 3 2 2 14" xfId="6199"/>
    <cellStyle name="Normal 2 3 2 2 15" xfId="6200"/>
    <cellStyle name="Normal 2 3 2 2 16" xfId="6201"/>
    <cellStyle name="Normal 2 3 2 2 17" xfId="6202"/>
    <cellStyle name="Normal 2 3 2 2 18" xfId="6203"/>
    <cellStyle name="Normal 2 3 2 2 19" xfId="6204"/>
    <cellStyle name="Normal 2 3 2 2 2" xfId="6205"/>
    <cellStyle name="Normal 2 3 2 2 2 10" xfId="6206"/>
    <cellStyle name="Normal 2 3 2 2 2 11" xfId="6207"/>
    <cellStyle name="Normal 2 3 2 2 2 12" xfId="6208"/>
    <cellStyle name="Normal 2 3 2 2 2 13" xfId="6209"/>
    <cellStyle name="Normal 2 3 2 2 2 14" xfId="6210"/>
    <cellStyle name="Normal 2 3 2 2 2 15" xfId="6211"/>
    <cellStyle name="Normal 2 3 2 2 2 16" xfId="6212"/>
    <cellStyle name="Normal 2 3 2 2 2 17" xfId="6213"/>
    <cellStyle name="Normal 2 3 2 2 2 18" xfId="6214"/>
    <cellStyle name="Normal 2 3 2 2 2 19" xfId="6215"/>
    <cellStyle name="Normal 2 3 2 2 2 2" xfId="6216"/>
    <cellStyle name="Normal 2 3 2 2 2 20" xfId="6217"/>
    <cellStyle name="Normal 2 3 2 2 2 21" xfId="6218"/>
    <cellStyle name="Normal 2 3 2 2 2 22" xfId="6219"/>
    <cellStyle name="Normal 2 3 2 2 2 23" xfId="6220"/>
    <cellStyle name="Normal 2 3 2 2 2 24" xfId="6221"/>
    <cellStyle name="Normal 2 3 2 2 2 3" xfId="6222"/>
    <cellStyle name="Normal 2 3 2 2 2 4" xfId="6223"/>
    <cellStyle name="Normal 2 3 2 2 2 5" xfId="6224"/>
    <cellStyle name="Normal 2 3 2 2 2 6" xfId="6225"/>
    <cellStyle name="Normal 2 3 2 2 2 7" xfId="6226"/>
    <cellStyle name="Normal 2 3 2 2 2 8" xfId="6227"/>
    <cellStyle name="Normal 2 3 2 2 2 9" xfId="6228"/>
    <cellStyle name="Normal 2 3 2 2 20" xfId="6229"/>
    <cellStyle name="Normal 2 3 2 2 21" xfId="6230"/>
    <cellStyle name="Normal 2 3 2 2 22" xfId="6231"/>
    <cellStyle name="Normal 2 3 2 2 23" xfId="6232"/>
    <cellStyle name="Normal 2 3 2 2 3" xfId="6233"/>
    <cellStyle name="Normal 2 3 2 2 4" xfId="6234"/>
    <cellStyle name="Normal 2 3 2 2 5" xfId="6235"/>
    <cellStyle name="Normal 2 3 2 2 6" xfId="6236"/>
    <cellStyle name="Normal 2 3 2 2 7" xfId="6237"/>
    <cellStyle name="Normal 2 3 2 2 8" xfId="6238"/>
    <cellStyle name="Normal 2 3 2 2 9" xfId="6239"/>
    <cellStyle name="Normal 2 3 2 20" xfId="6240"/>
    <cellStyle name="Normal 2 3 2 21" xfId="6241"/>
    <cellStyle name="Normal 2 3 2 22" xfId="6242"/>
    <cellStyle name="Normal 2 3 2 23" xfId="6243"/>
    <cellStyle name="Normal 2 3 2 24" xfId="6244"/>
    <cellStyle name="Normal 2 3 2 25" xfId="6245"/>
    <cellStyle name="Normal 2 3 2 26" xfId="6246"/>
    <cellStyle name="Normal 2 3 2 27" xfId="6247"/>
    <cellStyle name="Normal 2 3 2 28" xfId="6248"/>
    <cellStyle name="Normal 2 3 2 29" xfId="6249"/>
    <cellStyle name="Normal 2 3 2 3" xfId="6250"/>
    <cellStyle name="Normal 2 3 2 30" xfId="6251"/>
    <cellStyle name="Normal 2 3 2 31" xfId="6252"/>
    <cellStyle name="Normal 2 3 2 4" xfId="6253"/>
    <cellStyle name="Normal 2 3 2 5" xfId="6254"/>
    <cellStyle name="Normal 2 3 2 6" xfId="6255"/>
    <cellStyle name="Normal 2 3 2 7" xfId="6256"/>
    <cellStyle name="Normal 2 3 2 8" xfId="6257"/>
    <cellStyle name="Normal 2 3 2 9" xfId="6258"/>
    <cellStyle name="Normal 2 3 20" xfId="6259"/>
    <cellStyle name="Normal 2 3 21" xfId="6260"/>
    <cellStyle name="Normal 2 3 22" xfId="6261"/>
    <cellStyle name="Normal 2 3 23" xfId="6262"/>
    <cellStyle name="Normal 2 3 24" xfId="6263"/>
    <cellStyle name="Normal 2 3 25" xfId="6264"/>
    <cellStyle name="Normal 2 3 26" xfId="6265"/>
    <cellStyle name="Normal 2 3 27" xfId="6266"/>
    <cellStyle name="Normal 2 3 28" xfId="6267"/>
    <cellStyle name="Normal 2 3 29" xfId="6268"/>
    <cellStyle name="Normal 2 3 3" xfId="6269"/>
    <cellStyle name="Normal 2 3 3 10" xfId="6270"/>
    <cellStyle name="Normal 2 3 3 11" xfId="6271"/>
    <cellStyle name="Normal 2 3 3 12" xfId="6272"/>
    <cellStyle name="Normal 2 3 3 13" xfId="6273"/>
    <cellStyle name="Normal 2 3 3 14" xfId="6274"/>
    <cellStyle name="Normal 2 3 3 15" xfId="6275"/>
    <cellStyle name="Normal 2 3 3 16" xfId="6276"/>
    <cellStyle name="Normal 2 3 3 17" xfId="6277"/>
    <cellStyle name="Normal 2 3 3 18" xfId="6278"/>
    <cellStyle name="Normal 2 3 3 19" xfId="6279"/>
    <cellStyle name="Normal 2 3 3 2" xfId="6280"/>
    <cellStyle name="Normal 2 3 3 2 10" xfId="6281"/>
    <cellStyle name="Normal 2 3 3 2 11" xfId="6282"/>
    <cellStyle name="Normal 2 3 3 2 12" xfId="6283"/>
    <cellStyle name="Normal 2 3 3 2 13" xfId="6284"/>
    <cellStyle name="Normal 2 3 3 2 14" xfId="6285"/>
    <cellStyle name="Normal 2 3 3 2 15" xfId="6286"/>
    <cellStyle name="Normal 2 3 3 2 16" xfId="6287"/>
    <cellStyle name="Normal 2 3 3 2 17" xfId="6288"/>
    <cellStyle name="Normal 2 3 3 2 18" xfId="6289"/>
    <cellStyle name="Normal 2 3 3 2 19" xfId="6290"/>
    <cellStyle name="Normal 2 3 3 2 2" xfId="6291"/>
    <cellStyle name="Normal 2 3 3 2 20" xfId="6292"/>
    <cellStyle name="Normal 2 3 3 2 21" xfId="6293"/>
    <cellStyle name="Normal 2 3 3 2 22" xfId="6294"/>
    <cellStyle name="Normal 2 3 3 2 23" xfId="6295"/>
    <cellStyle name="Normal 2 3 3 2 24" xfId="6296"/>
    <cellStyle name="Normal 2 3 3 2 3" xfId="6297"/>
    <cellStyle name="Normal 2 3 3 2 4" xfId="6298"/>
    <cellStyle name="Normal 2 3 3 2 5" xfId="6299"/>
    <cellStyle name="Normal 2 3 3 2 6" xfId="6300"/>
    <cellStyle name="Normal 2 3 3 2 7" xfId="6301"/>
    <cellStyle name="Normal 2 3 3 2 8" xfId="6302"/>
    <cellStyle name="Normal 2 3 3 2 9" xfId="6303"/>
    <cellStyle name="Normal 2 3 3 20" xfId="6304"/>
    <cellStyle name="Normal 2 3 3 21" xfId="6305"/>
    <cellStyle name="Normal 2 3 3 22" xfId="6306"/>
    <cellStyle name="Normal 2 3 3 23" xfId="6307"/>
    <cellStyle name="Normal 2 3 3 3" xfId="6308"/>
    <cellStyle name="Normal 2 3 3 4" xfId="6309"/>
    <cellStyle name="Normal 2 3 3 5" xfId="6310"/>
    <cellStyle name="Normal 2 3 3 6" xfId="6311"/>
    <cellStyle name="Normal 2 3 3 7" xfId="6312"/>
    <cellStyle name="Normal 2 3 3 8" xfId="6313"/>
    <cellStyle name="Normal 2 3 3 9" xfId="6314"/>
    <cellStyle name="Normal 2 3 30" xfId="6315"/>
    <cellStyle name="Normal 2 3 31" xfId="6316"/>
    <cellStyle name="Normal 2 3 32" xfId="6317"/>
    <cellStyle name="Normal 2 3 4" xfId="6318"/>
    <cellStyle name="Normal 2 3 5" xfId="6319"/>
    <cellStyle name="Normal 2 3 6" xfId="6320"/>
    <cellStyle name="Normal 2 3 7" xfId="6321"/>
    <cellStyle name="Normal 2 3 8" xfId="6322"/>
    <cellStyle name="Normal 2 3 9" xfId="6323"/>
    <cellStyle name="Normal 2 30" xfId="6324"/>
    <cellStyle name="Normal 2 30 2" xfId="6325"/>
    <cellStyle name="Normal 2 31" xfId="6326"/>
    <cellStyle name="Normal 2 31 2" xfId="6327"/>
    <cellStyle name="Normal 2 32" xfId="6328"/>
    <cellStyle name="Normal 2 32 10" xfId="6329"/>
    <cellStyle name="Normal 2 32 10 2" xfId="6330"/>
    <cellStyle name="Normal 2 32 11" xfId="6331"/>
    <cellStyle name="Normal 2 32 12" xfId="6332"/>
    <cellStyle name="Normal 2 32 2" xfId="6333"/>
    <cellStyle name="Normal 2 32 2 10" xfId="6334"/>
    <cellStyle name="Normal 2 32 2 2" xfId="6335"/>
    <cellStyle name="Normal 2 32 2 2 2" xfId="6336"/>
    <cellStyle name="Normal 2 32 2 2 2 2" xfId="6337"/>
    <cellStyle name="Normal 2 32 2 2 2 2 2" xfId="6338"/>
    <cellStyle name="Normal 2 32 2 2 2 3" xfId="6339"/>
    <cellStyle name="Normal 2 32 2 2 2 3 2" xfId="6340"/>
    <cellStyle name="Normal 2 32 2 2 2 4" xfId="6341"/>
    <cellStyle name="Normal 2 32 2 2 3" xfId="6342"/>
    <cellStyle name="Normal 2 32 2 2 3 2" xfId="6343"/>
    <cellStyle name="Normal 2 32 2 2 3 2 2" xfId="6344"/>
    <cellStyle name="Normal 2 32 2 2 3 3" xfId="6345"/>
    <cellStyle name="Normal 2 32 2 2 3 3 2" xfId="6346"/>
    <cellStyle name="Normal 2 32 2 2 3 4" xfId="6347"/>
    <cellStyle name="Normal 2 32 2 2 4" xfId="6348"/>
    <cellStyle name="Normal 2 32 2 2 4 2" xfId="6349"/>
    <cellStyle name="Normal 2 32 2 2 4 2 2" xfId="6350"/>
    <cellStyle name="Normal 2 32 2 2 4 3" xfId="6351"/>
    <cellStyle name="Normal 2 32 2 2 4 3 2" xfId="6352"/>
    <cellStyle name="Normal 2 32 2 2 4 4" xfId="6353"/>
    <cellStyle name="Normal 2 32 2 2 5" xfId="6354"/>
    <cellStyle name="Normal 2 32 2 2 5 2" xfId="6355"/>
    <cellStyle name="Normal 2 32 2 2 6" xfId="6356"/>
    <cellStyle name="Normal 2 32 2 2 6 2" xfId="6357"/>
    <cellStyle name="Normal 2 32 2 2 7" xfId="6358"/>
    <cellStyle name="Normal 2 32 2 3" xfId="6359"/>
    <cellStyle name="Normal 2 32 2 3 2" xfId="6360"/>
    <cellStyle name="Normal 2 32 2 3 2 2" xfId="6361"/>
    <cellStyle name="Normal 2 32 2 3 3" xfId="6362"/>
    <cellStyle name="Normal 2 32 2 3 3 2" xfId="6363"/>
    <cellStyle name="Normal 2 32 2 3 4" xfId="6364"/>
    <cellStyle name="Normal 2 32 2 4" xfId="6365"/>
    <cellStyle name="Normal 2 32 2 4 2" xfId="6366"/>
    <cellStyle name="Normal 2 32 2 4 2 2" xfId="6367"/>
    <cellStyle name="Normal 2 32 2 4 3" xfId="6368"/>
    <cellStyle name="Normal 2 32 2 4 3 2" xfId="6369"/>
    <cellStyle name="Normal 2 32 2 4 4" xfId="6370"/>
    <cellStyle name="Normal 2 32 2 5" xfId="6371"/>
    <cellStyle name="Normal 2 32 2 5 2" xfId="6372"/>
    <cellStyle name="Normal 2 32 2 5 2 2" xfId="6373"/>
    <cellStyle name="Normal 2 32 2 5 3" xfId="6374"/>
    <cellStyle name="Normal 2 32 2 5 3 2" xfId="6375"/>
    <cellStyle name="Normal 2 32 2 5 4" xfId="6376"/>
    <cellStyle name="Normal 2 32 2 6" xfId="6377"/>
    <cellStyle name="Normal 2 32 2 6 2" xfId="6378"/>
    <cellStyle name="Normal 2 32 2 7" xfId="6379"/>
    <cellStyle name="Normal 2 32 2 7 2" xfId="6380"/>
    <cellStyle name="Normal 2 32 2 8" xfId="6381"/>
    <cellStyle name="Normal 2 32 2 8 2" xfId="6382"/>
    <cellStyle name="Normal 2 32 2 9" xfId="6383"/>
    <cellStyle name="Normal 2 32 3" xfId="6384"/>
    <cellStyle name="Normal 2 32 3 10" xfId="6385"/>
    <cellStyle name="Normal 2 32 3 2" xfId="6386"/>
    <cellStyle name="Normal 2 32 3 2 2" xfId="6387"/>
    <cellStyle name="Normal 2 32 3 2 2 2" xfId="6388"/>
    <cellStyle name="Normal 2 32 3 2 2 2 2" xfId="6389"/>
    <cellStyle name="Normal 2 32 3 2 2 3" xfId="6390"/>
    <cellStyle name="Normal 2 32 3 2 2 3 2" xfId="6391"/>
    <cellStyle name="Normal 2 32 3 2 2 4" xfId="6392"/>
    <cellStyle name="Normal 2 32 3 2 3" xfId="6393"/>
    <cellStyle name="Normal 2 32 3 2 3 2" xfId="6394"/>
    <cellStyle name="Normal 2 32 3 2 3 2 2" xfId="6395"/>
    <cellStyle name="Normal 2 32 3 2 3 3" xfId="6396"/>
    <cellStyle name="Normal 2 32 3 2 3 3 2" xfId="6397"/>
    <cellStyle name="Normal 2 32 3 2 3 4" xfId="6398"/>
    <cellStyle name="Normal 2 32 3 2 4" xfId="6399"/>
    <cellStyle name="Normal 2 32 3 2 4 2" xfId="6400"/>
    <cellStyle name="Normal 2 32 3 2 4 2 2" xfId="6401"/>
    <cellStyle name="Normal 2 32 3 2 4 3" xfId="6402"/>
    <cellStyle name="Normal 2 32 3 2 4 3 2" xfId="6403"/>
    <cellStyle name="Normal 2 32 3 2 4 4" xfId="6404"/>
    <cellStyle name="Normal 2 32 3 2 5" xfId="6405"/>
    <cellStyle name="Normal 2 32 3 2 5 2" xfId="6406"/>
    <cellStyle name="Normal 2 32 3 2 6" xfId="6407"/>
    <cellStyle name="Normal 2 32 3 2 6 2" xfId="6408"/>
    <cellStyle name="Normal 2 32 3 2 7" xfId="6409"/>
    <cellStyle name="Normal 2 32 3 3" xfId="6410"/>
    <cellStyle name="Normal 2 32 3 3 2" xfId="6411"/>
    <cellStyle name="Normal 2 32 3 3 2 2" xfId="6412"/>
    <cellStyle name="Normal 2 32 3 3 3" xfId="6413"/>
    <cellStyle name="Normal 2 32 3 3 3 2" xfId="6414"/>
    <cellStyle name="Normal 2 32 3 3 4" xfId="6415"/>
    <cellStyle name="Normal 2 32 3 4" xfId="6416"/>
    <cellStyle name="Normal 2 32 3 4 2" xfId="6417"/>
    <cellStyle name="Normal 2 32 3 4 2 2" xfId="6418"/>
    <cellStyle name="Normal 2 32 3 4 3" xfId="6419"/>
    <cellStyle name="Normal 2 32 3 4 3 2" xfId="6420"/>
    <cellStyle name="Normal 2 32 3 4 4" xfId="6421"/>
    <cellStyle name="Normal 2 32 3 5" xfId="6422"/>
    <cellStyle name="Normal 2 32 3 5 2" xfId="6423"/>
    <cellStyle name="Normal 2 32 3 5 2 2" xfId="6424"/>
    <cellStyle name="Normal 2 32 3 5 3" xfId="6425"/>
    <cellStyle name="Normal 2 32 3 5 3 2" xfId="6426"/>
    <cellStyle name="Normal 2 32 3 5 4" xfId="6427"/>
    <cellStyle name="Normal 2 32 3 6" xfId="6428"/>
    <cellStyle name="Normal 2 32 3 6 2" xfId="6429"/>
    <cellStyle name="Normal 2 32 3 7" xfId="6430"/>
    <cellStyle name="Normal 2 32 3 7 2" xfId="6431"/>
    <cellStyle name="Normal 2 32 3 8" xfId="6432"/>
    <cellStyle name="Normal 2 32 3 8 2" xfId="6433"/>
    <cellStyle name="Normal 2 32 3 9" xfId="6434"/>
    <cellStyle name="Normal 2 32 4" xfId="6435"/>
    <cellStyle name="Normal 2 32 4 2" xfId="6436"/>
    <cellStyle name="Normal 2 32 4 2 2" xfId="6437"/>
    <cellStyle name="Normal 2 32 4 2 2 2" xfId="6438"/>
    <cellStyle name="Normal 2 32 4 2 3" xfId="6439"/>
    <cellStyle name="Normal 2 32 4 2 3 2" xfId="6440"/>
    <cellStyle name="Normal 2 32 4 2 4" xfId="6441"/>
    <cellStyle name="Normal 2 32 4 3" xfId="6442"/>
    <cellStyle name="Normal 2 32 4 3 2" xfId="6443"/>
    <cellStyle name="Normal 2 32 4 3 2 2" xfId="6444"/>
    <cellStyle name="Normal 2 32 4 3 3" xfId="6445"/>
    <cellStyle name="Normal 2 32 4 3 3 2" xfId="6446"/>
    <cellStyle name="Normal 2 32 4 3 4" xfId="6447"/>
    <cellStyle name="Normal 2 32 4 4" xfId="6448"/>
    <cellStyle name="Normal 2 32 4 4 2" xfId="6449"/>
    <cellStyle name="Normal 2 32 4 4 2 2" xfId="6450"/>
    <cellStyle name="Normal 2 32 4 4 3" xfId="6451"/>
    <cellStyle name="Normal 2 32 4 4 3 2" xfId="6452"/>
    <cellStyle name="Normal 2 32 4 4 4" xfId="6453"/>
    <cellStyle name="Normal 2 32 4 5" xfId="6454"/>
    <cellStyle name="Normal 2 32 4 5 2" xfId="6455"/>
    <cellStyle name="Normal 2 32 4 6" xfId="6456"/>
    <cellStyle name="Normal 2 32 4 6 2" xfId="6457"/>
    <cellStyle name="Normal 2 32 4 7" xfId="6458"/>
    <cellStyle name="Normal 2 32 5" xfId="6459"/>
    <cellStyle name="Normal 2 32 5 2" xfId="6460"/>
    <cellStyle name="Normal 2 32 5 3" xfId="6461"/>
    <cellStyle name="Normal 2 32 5 3 2" xfId="6462"/>
    <cellStyle name="Normal 2 32 5 4" xfId="6463"/>
    <cellStyle name="Normal 2 32 5 4 2" xfId="6464"/>
    <cellStyle name="Normal 2 32 5 5" xfId="6465"/>
    <cellStyle name="Normal 2 32 6" xfId="6466"/>
    <cellStyle name="Normal 2 32 6 2" xfId="6467"/>
    <cellStyle name="Normal 2 32 6 2 2" xfId="6468"/>
    <cellStyle name="Normal 2 32 6 3" xfId="6469"/>
    <cellStyle name="Normal 2 32 6 3 2" xfId="6470"/>
    <cellStyle name="Normal 2 32 6 4" xfId="6471"/>
    <cellStyle name="Normal 2 32 7" xfId="6472"/>
    <cellStyle name="Normal 2 32 7 2" xfId="6473"/>
    <cellStyle name="Normal 2 32 7 2 2" xfId="6474"/>
    <cellStyle name="Normal 2 32 7 3" xfId="6475"/>
    <cellStyle name="Normal 2 32 7 3 2" xfId="6476"/>
    <cellStyle name="Normal 2 32 7 4" xfId="6477"/>
    <cellStyle name="Normal 2 32 8" xfId="6478"/>
    <cellStyle name="Normal 2 32 8 2" xfId="6479"/>
    <cellStyle name="Normal 2 32 9" xfId="6480"/>
    <cellStyle name="Normal 2 32 9 2" xfId="6481"/>
    <cellStyle name="Normal 2 33" xfId="6482"/>
    <cellStyle name="Normal 2 33 10" xfId="6483"/>
    <cellStyle name="Normal 2 33 10 2" xfId="6484"/>
    <cellStyle name="Normal 2 33 11" xfId="6485"/>
    <cellStyle name="Normal 2 33 12" xfId="6486"/>
    <cellStyle name="Normal 2 33 2" xfId="6487"/>
    <cellStyle name="Normal 2 33 2 10" xfId="6488"/>
    <cellStyle name="Normal 2 33 2 2" xfId="6489"/>
    <cellStyle name="Normal 2 33 2 2 2" xfId="6490"/>
    <cellStyle name="Normal 2 33 2 2 2 2" xfId="6491"/>
    <cellStyle name="Normal 2 33 2 2 2 2 2" xfId="6492"/>
    <cellStyle name="Normal 2 33 2 2 2 3" xfId="6493"/>
    <cellStyle name="Normal 2 33 2 2 2 3 2" xfId="6494"/>
    <cellStyle name="Normal 2 33 2 2 2 4" xfId="6495"/>
    <cellStyle name="Normal 2 33 2 2 3" xfId="6496"/>
    <cellStyle name="Normal 2 33 2 2 3 2" xfId="6497"/>
    <cellStyle name="Normal 2 33 2 2 3 2 2" xfId="6498"/>
    <cellStyle name="Normal 2 33 2 2 3 3" xfId="6499"/>
    <cellStyle name="Normal 2 33 2 2 3 3 2" xfId="6500"/>
    <cellStyle name="Normal 2 33 2 2 3 4" xfId="6501"/>
    <cellStyle name="Normal 2 33 2 2 4" xfId="6502"/>
    <cellStyle name="Normal 2 33 2 2 4 2" xfId="6503"/>
    <cellStyle name="Normal 2 33 2 2 4 2 2" xfId="6504"/>
    <cellStyle name="Normal 2 33 2 2 4 3" xfId="6505"/>
    <cellStyle name="Normal 2 33 2 2 4 3 2" xfId="6506"/>
    <cellStyle name="Normal 2 33 2 2 4 4" xfId="6507"/>
    <cellStyle name="Normal 2 33 2 2 5" xfId="6508"/>
    <cellStyle name="Normal 2 33 2 2 5 2" xfId="6509"/>
    <cellStyle name="Normal 2 33 2 2 6" xfId="6510"/>
    <cellStyle name="Normal 2 33 2 2 6 2" xfId="6511"/>
    <cellStyle name="Normal 2 33 2 2 7" xfId="6512"/>
    <cellStyle name="Normal 2 33 2 3" xfId="6513"/>
    <cellStyle name="Normal 2 33 2 3 2" xfId="6514"/>
    <cellStyle name="Normal 2 33 2 3 2 2" xfId="6515"/>
    <cellStyle name="Normal 2 33 2 3 3" xfId="6516"/>
    <cellStyle name="Normal 2 33 2 3 3 2" xfId="6517"/>
    <cellStyle name="Normal 2 33 2 3 4" xfId="6518"/>
    <cellStyle name="Normal 2 33 2 4" xfId="6519"/>
    <cellStyle name="Normal 2 33 2 4 2" xfId="6520"/>
    <cellStyle name="Normal 2 33 2 4 2 2" xfId="6521"/>
    <cellStyle name="Normal 2 33 2 4 3" xfId="6522"/>
    <cellStyle name="Normal 2 33 2 4 3 2" xfId="6523"/>
    <cellStyle name="Normal 2 33 2 4 4" xfId="6524"/>
    <cellStyle name="Normal 2 33 2 5" xfId="6525"/>
    <cellStyle name="Normal 2 33 2 5 2" xfId="6526"/>
    <cellStyle name="Normal 2 33 2 5 2 2" xfId="6527"/>
    <cellStyle name="Normal 2 33 2 5 3" xfId="6528"/>
    <cellStyle name="Normal 2 33 2 5 3 2" xfId="6529"/>
    <cellStyle name="Normal 2 33 2 5 4" xfId="6530"/>
    <cellStyle name="Normal 2 33 2 6" xfId="6531"/>
    <cellStyle name="Normal 2 33 2 6 2" xfId="6532"/>
    <cellStyle name="Normal 2 33 2 7" xfId="6533"/>
    <cellStyle name="Normal 2 33 2 7 2" xfId="6534"/>
    <cellStyle name="Normal 2 33 2 8" xfId="6535"/>
    <cellStyle name="Normal 2 33 2 8 2" xfId="6536"/>
    <cellStyle name="Normal 2 33 2 9" xfId="6537"/>
    <cellStyle name="Normal 2 33 3" xfId="6538"/>
    <cellStyle name="Normal 2 33 3 10" xfId="6539"/>
    <cellStyle name="Normal 2 33 3 2" xfId="6540"/>
    <cellStyle name="Normal 2 33 3 2 2" xfId="6541"/>
    <cellStyle name="Normal 2 33 3 2 2 2" xfId="6542"/>
    <cellStyle name="Normal 2 33 3 2 2 2 2" xfId="6543"/>
    <cellStyle name="Normal 2 33 3 2 2 3" xfId="6544"/>
    <cellStyle name="Normal 2 33 3 2 2 3 2" xfId="6545"/>
    <cellStyle name="Normal 2 33 3 2 2 4" xfId="6546"/>
    <cellStyle name="Normal 2 33 3 2 3" xfId="6547"/>
    <cellStyle name="Normal 2 33 3 2 3 2" xfId="6548"/>
    <cellStyle name="Normal 2 33 3 2 3 2 2" xfId="6549"/>
    <cellStyle name="Normal 2 33 3 2 3 3" xfId="6550"/>
    <cellStyle name="Normal 2 33 3 2 3 3 2" xfId="6551"/>
    <cellStyle name="Normal 2 33 3 2 3 4" xfId="6552"/>
    <cellStyle name="Normal 2 33 3 2 4" xfId="6553"/>
    <cellStyle name="Normal 2 33 3 2 4 2" xfId="6554"/>
    <cellStyle name="Normal 2 33 3 2 4 2 2" xfId="6555"/>
    <cellStyle name="Normal 2 33 3 2 4 3" xfId="6556"/>
    <cellStyle name="Normal 2 33 3 2 4 3 2" xfId="6557"/>
    <cellStyle name="Normal 2 33 3 2 4 4" xfId="6558"/>
    <cellStyle name="Normal 2 33 3 2 5" xfId="6559"/>
    <cellStyle name="Normal 2 33 3 2 5 2" xfId="6560"/>
    <cellStyle name="Normal 2 33 3 2 6" xfId="6561"/>
    <cellStyle name="Normal 2 33 3 2 6 2" xfId="6562"/>
    <cellStyle name="Normal 2 33 3 2 7" xfId="6563"/>
    <cellStyle name="Normal 2 33 3 3" xfId="6564"/>
    <cellStyle name="Normal 2 33 3 3 2" xfId="6565"/>
    <cellStyle name="Normal 2 33 3 3 2 2" xfId="6566"/>
    <cellStyle name="Normal 2 33 3 3 3" xfId="6567"/>
    <cellStyle name="Normal 2 33 3 3 3 2" xfId="6568"/>
    <cellStyle name="Normal 2 33 3 3 4" xfId="6569"/>
    <cellStyle name="Normal 2 33 3 4" xfId="6570"/>
    <cellStyle name="Normal 2 33 3 4 2" xfId="6571"/>
    <cellStyle name="Normal 2 33 3 4 2 2" xfId="6572"/>
    <cellStyle name="Normal 2 33 3 4 3" xfId="6573"/>
    <cellStyle name="Normal 2 33 3 4 3 2" xfId="6574"/>
    <cellStyle name="Normal 2 33 3 4 4" xfId="6575"/>
    <cellStyle name="Normal 2 33 3 5" xfId="6576"/>
    <cellStyle name="Normal 2 33 3 5 2" xfId="6577"/>
    <cellStyle name="Normal 2 33 3 5 2 2" xfId="6578"/>
    <cellStyle name="Normal 2 33 3 5 3" xfId="6579"/>
    <cellStyle name="Normal 2 33 3 5 3 2" xfId="6580"/>
    <cellStyle name="Normal 2 33 3 5 4" xfId="6581"/>
    <cellStyle name="Normal 2 33 3 6" xfId="6582"/>
    <cellStyle name="Normal 2 33 3 6 2" xfId="6583"/>
    <cellStyle name="Normal 2 33 3 7" xfId="6584"/>
    <cellStyle name="Normal 2 33 3 7 2" xfId="6585"/>
    <cellStyle name="Normal 2 33 3 8" xfId="6586"/>
    <cellStyle name="Normal 2 33 3 8 2" xfId="6587"/>
    <cellStyle name="Normal 2 33 3 9" xfId="6588"/>
    <cellStyle name="Normal 2 33 4" xfId="6589"/>
    <cellStyle name="Normal 2 33 4 2" xfId="6590"/>
    <cellStyle name="Normal 2 33 4 2 2" xfId="6591"/>
    <cellStyle name="Normal 2 33 4 2 2 2" xfId="6592"/>
    <cellStyle name="Normal 2 33 4 2 3" xfId="6593"/>
    <cellStyle name="Normal 2 33 4 2 3 2" xfId="6594"/>
    <cellStyle name="Normal 2 33 4 2 4" xfId="6595"/>
    <cellStyle name="Normal 2 33 4 3" xfId="6596"/>
    <cellStyle name="Normal 2 33 4 3 2" xfId="6597"/>
    <cellStyle name="Normal 2 33 4 3 2 2" xfId="6598"/>
    <cellStyle name="Normal 2 33 4 3 3" xfId="6599"/>
    <cellStyle name="Normal 2 33 4 3 3 2" xfId="6600"/>
    <cellStyle name="Normal 2 33 4 3 4" xfId="6601"/>
    <cellStyle name="Normal 2 33 4 4" xfId="6602"/>
    <cellStyle name="Normal 2 33 4 4 2" xfId="6603"/>
    <cellStyle name="Normal 2 33 4 4 2 2" xfId="6604"/>
    <cellStyle name="Normal 2 33 4 4 3" xfId="6605"/>
    <cellStyle name="Normal 2 33 4 4 3 2" xfId="6606"/>
    <cellStyle name="Normal 2 33 4 4 4" xfId="6607"/>
    <cellStyle name="Normal 2 33 4 5" xfId="6608"/>
    <cellStyle name="Normal 2 33 4 5 2" xfId="6609"/>
    <cellStyle name="Normal 2 33 4 6" xfId="6610"/>
    <cellStyle name="Normal 2 33 4 6 2" xfId="6611"/>
    <cellStyle name="Normal 2 33 4 7" xfId="6612"/>
    <cellStyle name="Normal 2 33 5" xfId="6613"/>
    <cellStyle name="Normal 2 33 5 2" xfId="6614"/>
    <cellStyle name="Normal 2 33 5 3" xfId="6615"/>
    <cellStyle name="Normal 2 33 5 3 2" xfId="6616"/>
    <cellStyle name="Normal 2 33 5 4" xfId="6617"/>
    <cellStyle name="Normal 2 33 5 4 2" xfId="6618"/>
    <cellStyle name="Normal 2 33 5 5" xfId="6619"/>
    <cellStyle name="Normal 2 33 6" xfId="6620"/>
    <cellStyle name="Normal 2 33 6 2" xfId="6621"/>
    <cellStyle name="Normal 2 33 6 2 2" xfId="6622"/>
    <cellStyle name="Normal 2 33 6 3" xfId="6623"/>
    <cellStyle name="Normal 2 33 6 3 2" xfId="6624"/>
    <cellStyle name="Normal 2 33 6 4" xfId="6625"/>
    <cellStyle name="Normal 2 33 7" xfId="6626"/>
    <cellStyle name="Normal 2 33 7 2" xfId="6627"/>
    <cellStyle name="Normal 2 33 7 2 2" xfId="6628"/>
    <cellStyle name="Normal 2 33 7 3" xfId="6629"/>
    <cellStyle name="Normal 2 33 7 3 2" xfId="6630"/>
    <cellStyle name="Normal 2 33 7 4" xfId="6631"/>
    <cellStyle name="Normal 2 33 8" xfId="6632"/>
    <cellStyle name="Normal 2 33 8 2" xfId="6633"/>
    <cellStyle name="Normal 2 33 9" xfId="6634"/>
    <cellStyle name="Normal 2 33 9 2" xfId="6635"/>
    <cellStyle name="Normal 2 34" xfId="6636"/>
    <cellStyle name="Normal 2 34 2" xfId="6637"/>
    <cellStyle name="Normal 2 34 3" xfId="6638"/>
    <cellStyle name="Normal 2 34 3 2" xfId="6639"/>
    <cellStyle name="Normal 2 34 4" xfId="6640"/>
    <cellStyle name="Normal 2 34 4 2" xfId="6641"/>
    <cellStyle name="Normal 2 34 5" xfId="6642"/>
    <cellStyle name="Normal 2 35" xfId="6643"/>
    <cellStyle name="Normal 2 35 2" xfId="6644"/>
    <cellStyle name="Normal 2 35 3" xfId="6645"/>
    <cellStyle name="Normal 2 35 3 2" xfId="6646"/>
    <cellStyle name="Normal 2 35 4" xfId="6647"/>
    <cellStyle name="Normal 2 35 4 2" xfId="6648"/>
    <cellStyle name="Normal 2 35 5" xfId="6649"/>
    <cellStyle name="Normal 2 36" xfId="6650"/>
    <cellStyle name="Normal 2 36 2" xfId="6651"/>
    <cellStyle name="Normal 2 36 3" xfId="6652"/>
    <cellStyle name="Normal 2 36 3 2" xfId="6653"/>
    <cellStyle name="Normal 2 36 4" xfId="6654"/>
    <cellStyle name="Normal 2 36 4 2" xfId="6655"/>
    <cellStyle name="Normal 2 36 5" xfId="6656"/>
    <cellStyle name="Normal 2 37" xfId="6657"/>
    <cellStyle name="Normal 2 37 2" xfId="6658"/>
    <cellStyle name="Normal 2 37 3" xfId="6659"/>
    <cellStyle name="Normal 2 37 3 2" xfId="6660"/>
    <cellStyle name="Normal 2 37 4" xfId="6661"/>
    <cellStyle name="Normal 2 37 4 2" xfId="6662"/>
    <cellStyle name="Normal 2 37 5" xfId="6663"/>
    <cellStyle name="Normal 2 38" xfId="6664"/>
    <cellStyle name="Normal 2 39" xfId="6665"/>
    <cellStyle name="Normal 2 4" xfId="6666"/>
    <cellStyle name="Normal 2 40" xfId="6667"/>
    <cellStyle name="Normal 2 41" xfId="6668"/>
    <cellStyle name="Normal 2 42" xfId="6669"/>
    <cellStyle name="Normal 2 43" xfId="6670"/>
    <cellStyle name="Normal 2 44" xfId="6671"/>
    <cellStyle name="Normal 2 45" xfId="6672"/>
    <cellStyle name="Normal 2 46" xfId="6673"/>
    <cellStyle name="Normal 2 47" xfId="6674"/>
    <cellStyle name="Normal 2 48" xfId="6675"/>
    <cellStyle name="Normal 2 49" xfId="6676"/>
    <cellStyle name="Normal 2 5" xfId="6677"/>
    <cellStyle name="Normal 2 50" xfId="6678"/>
    <cellStyle name="Normal 2 51" xfId="6679"/>
    <cellStyle name="Normal 2 52" xfId="6680"/>
    <cellStyle name="Normal 2 53" xfId="6681"/>
    <cellStyle name="Normal 2 54" xfId="6682"/>
    <cellStyle name="Normal 2 55" xfId="6683"/>
    <cellStyle name="Normal 2 56" xfId="6684"/>
    <cellStyle name="Normal 2 57" xfId="6685"/>
    <cellStyle name="Normal 2 58" xfId="6686"/>
    <cellStyle name="Normal 2 59" xfId="6687"/>
    <cellStyle name="Normal 2 6" xfId="6688"/>
    <cellStyle name="Normal 2 60" xfId="6689"/>
    <cellStyle name="Normal 2 61" xfId="6690"/>
    <cellStyle name="Normal 2 62" xfId="6691"/>
    <cellStyle name="Normal 2 63" xfId="6692"/>
    <cellStyle name="Normal 2 64" xfId="6693"/>
    <cellStyle name="Normal 2 65" xfId="6694"/>
    <cellStyle name="Normal 2 66" xfId="6695"/>
    <cellStyle name="Normal 2 67" xfId="6696"/>
    <cellStyle name="Normal 2 68" xfId="6697"/>
    <cellStyle name="Normal 2 69" xfId="6698"/>
    <cellStyle name="Normal 2 7" xfId="6699"/>
    <cellStyle name="Normal 2 70" xfId="6700"/>
    <cellStyle name="Normal 2 71" xfId="6701"/>
    <cellStyle name="Normal 2 72" xfId="6702"/>
    <cellStyle name="Normal 2 73" xfId="6703"/>
    <cellStyle name="Normal 2 74" xfId="6704"/>
    <cellStyle name="Normal 2 75" xfId="6705"/>
    <cellStyle name="Normal 2 76" xfId="6706"/>
    <cellStyle name="Normal 2 77" xfId="6707"/>
    <cellStyle name="Normal 2 78" xfId="6708"/>
    <cellStyle name="Normal 2 79" xfId="6709"/>
    <cellStyle name="Normal 2 8" xfId="6710"/>
    <cellStyle name="Normal 2 80" xfId="6711"/>
    <cellStyle name="Normal 2 81" xfId="6712"/>
    <cellStyle name="Normal 2 82" xfId="6713"/>
    <cellStyle name="Normal 2 83" xfId="6714"/>
    <cellStyle name="Normal 2 84" xfId="6715"/>
    <cellStyle name="Normal 2 85" xfId="6716"/>
    <cellStyle name="Normal 2 86" xfId="6717"/>
    <cellStyle name="Normal 2 87" xfId="6718"/>
    <cellStyle name="Normal 2 88" xfId="6719"/>
    <cellStyle name="Normal 2 89" xfId="6720"/>
    <cellStyle name="Normal 2 9" xfId="6721"/>
    <cellStyle name="Normal 2 90" xfId="6722"/>
    <cellStyle name="Normal 2 91" xfId="6723"/>
    <cellStyle name="Normal 2 92" xfId="6724"/>
    <cellStyle name="Normal 2 93" xfId="6725"/>
    <cellStyle name="Normal 2 94" xfId="6726"/>
    <cellStyle name="Normal 2 95" xfId="6727"/>
    <cellStyle name="Normal 2 96" xfId="6728"/>
    <cellStyle name="Normal 2 97" xfId="6729"/>
    <cellStyle name="Normal 2 98" xfId="6730"/>
    <cellStyle name="Normal 2 99" xfId="6731"/>
    <cellStyle name="Normal 2_ACES Shortcut" xfId="6732"/>
    <cellStyle name="Normal 20" xfId="6733"/>
    <cellStyle name="Normal 20 10" xfId="6734"/>
    <cellStyle name="Normal 20 10 2" xfId="6735"/>
    <cellStyle name="Normal 20 10 3" xfId="6736"/>
    <cellStyle name="Normal 20 11" xfId="6737"/>
    <cellStyle name="Normal 20 11 2" xfId="6738"/>
    <cellStyle name="Normal 20 11 3" xfId="6739"/>
    <cellStyle name="Normal 20 12" xfId="6740"/>
    <cellStyle name="Normal 20 12 2" xfId="6741"/>
    <cellStyle name="Normal 20 12 3" xfId="6742"/>
    <cellStyle name="Normal 20 13" xfId="6743"/>
    <cellStyle name="Normal 20 13 2" xfId="6744"/>
    <cellStyle name="Normal 20 13 3" xfId="6745"/>
    <cellStyle name="Normal 20 14" xfId="6746"/>
    <cellStyle name="Normal 20 14 2" xfId="6747"/>
    <cellStyle name="Normal 20 14 3" xfId="6748"/>
    <cellStyle name="Normal 20 15" xfId="6749"/>
    <cellStyle name="Normal 20 15 2" xfId="6750"/>
    <cellStyle name="Normal 20 15 3" xfId="6751"/>
    <cellStyle name="Normal 20 16" xfId="6752"/>
    <cellStyle name="Normal 20 16 2" xfId="6753"/>
    <cellStyle name="Normal 20 16 3" xfId="6754"/>
    <cellStyle name="Normal 20 17" xfId="6755"/>
    <cellStyle name="Normal 20 18" xfId="6756"/>
    <cellStyle name="Normal 20 19" xfId="6757"/>
    <cellStyle name="Normal 20 2" xfId="6758"/>
    <cellStyle name="Normal 20 2 2" xfId="6759"/>
    <cellStyle name="Normal 20 2 3" xfId="6760"/>
    <cellStyle name="Normal 20 20" xfId="6761"/>
    <cellStyle name="Normal 20 21" xfId="6762"/>
    <cellStyle name="Normal 20 22" xfId="6763"/>
    <cellStyle name="Normal 20 23" xfId="6764"/>
    <cellStyle name="Normal 20 24" xfId="6765"/>
    <cellStyle name="Normal 20 25" xfId="6766"/>
    <cellStyle name="Normal 20 26" xfId="6767"/>
    <cellStyle name="Normal 20 27" xfId="6768"/>
    <cellStyle name="Normal 20 28" xfId="6769"/>
    <cellStyle name="Normal 20 29" xfId="6770"/>
    <cellStyle name="Normal 20 3" xfId="6771"/>
    <cellStyle name="Normal 20 3 2" xfId="6772"/>
    <cellStyle name="Normal 20 3 3" xfId="6773"/>
    <cellStyle name="Normal 20 30" xfId="6774"/>
    <cellStyle name="Normal 20 31" xfId="6775"/>
    <cellStyle name="Normal 20 32" xfId="6776"/>
    <cellStyle name="Normal 20 33" xfId="6777"/>
    <cellStyle name="Normal 20 34" xfId="6778"/>
    <cellStyle name="Normal 20 4" xfId="6779"/>
    <cellStyle name="Normal 20 4 2" xfId="6780"/>
    <cellStyle name="Normal 20 4 3" xfId="6781"/>
    <cellStyle name="Normal 20 5" xfId="6782"/>
    <cellStyle name="Normal 20 5 2" xfId="6783"/>
    <cellStyle name="Normal 20 5 3" xfId="6784"/>
    <cellStyle name="Normal 20 6" xfId="6785"/>
    <cellStyle name="Normal 20 6 2" xfId="6786"/>
    <cellStyle name="Normal 20 6 3" xfId="6787"/>
    <cellStyle name="Normal 20 7" xfId="6788"/>
    <cellStyle name="Normal 20 7 2" xfId="6789"/>
    <cellStyle name="Normal 20 7 3" xfId="6790"/>
    <cellStyle name="Normal 20 8" xfId="6791"/>
    <cellStyle name="Normal 20 8 2" xfId="6792"/>
    <cellStyle name="Normal 20 8 3" xfId="6793"/>
    <cellStyle name="Normal 20 9" xfId="6794"/>
    <cellStyle name="Normal 20 9 2" xfId="6795"/>
    <cellStyle name="Normal 20 9 3" xfId="6796"/>
    <cellStyle name="Normal 200" xfId="6797"/>
    <cellStyle name="Normal 201" xfId="6798"/>
    <cellStyle name="Normal 202" xfId="6799"/>
    <cellStyle name="Normal 203" xfId="6800"/>
    <cellStyle name="Normal 204" xfId="6801"/>
    <cellStyle name="Normal 205" xfId="6802"/>
    <cellStyle name="Normal 206" xfId="6803"/>
    <cellStyle name="Normal 207" xfId="6804"/>
    <cellStyle name="Normal 208" xfId="6805"/>
    <cellStyle name="Normal 209" xfId="6806"/>
    <cellStyle name="Normal 21" xfId="6807"/>
    <cellStyle name="Normal 21 10" xfId="6808"/>
    <cellStyle name="Normal 21 11" xfId="6809"/>
    <cellStyle name="Normal 21 12" xfId="6810"/>
    <cellStyle name="Normal 21 13" xfId="6811"/>
    <cellStyle name="Normal 21 14" xfId="6812"/>
    <cellStyle name="Normal 21 15" xfId="6813"/>
    <cellStyle name="Normal 21 16" xfId="6814"/>
    <cellStyle name="Normal 21 17" xfId="6815"/>
    <cellStyle name="Normal 21 18" xfId="6816"/>
    <cellStyle name="Normal 21 19" xfId="6817"/>
    <cellStyle name="Normal 21 2" xfId="6818"/>
    <cellStyle name="Normal 21 2 2" xfId="6819"/>
    <cellStyle name="Normal 21 2 3" xfId="6820"/>
    <cellStyle name="Normal 21 20" xfId="6821"/>
    <cellStyle name="Normal 21 21" xfId="6822"/>
    <cellStyle name="Normal 21 22" xfId="6823"/>
    <cellStyle name="Normal 21 23" xfId="6824"/>
    <cellStyle name="Normal 21 24" xfId="6825"/>
    <cellStyle name="Normal 21 25" xfId="6826"/>
    <cellStyle name="Normal 21 26" xfId="6827"/>
    <cellStyle name="Normal 21 27" xfId="6828"/>
    <cellStyle name="Normal 21 28" xfId="6829"/>
    <cellStyle name="Normal 21 29" xfId="6830"/>
    <cellStyle name="Normal 21 3" xfId="6831"/>
    <cellStyle name="Normal 21 3 2" xfId="6832"/>
    <cellStyle name="Normal 21 3 3" xfId="6833"/>
    <cellStyle name="Normal 21 30" xfId="6834"/>
    <cellStyle name="Normal 21 31" xfId="6835"/>
    <cellStyle name="Normal 21 32" xfId="6836"/>
    <cellStyle name="Normal 21 33" xfId="6837"/>
    <cellStyle name="Normal 21 34" xfId="6838"/>
    <cellStyle name="Normal 21 4" xfId="6839"/>
    <cellStyle name="Normal 21 4 2" xfId="6840"/>
    <cellStyle name="Normal 21 4 3" xfId="6841"/>
    <cellStyle name="Normal 21 5" xfId="6842"/>
    <cellStyle name="Normal 21 5 2" xfId="6843"/>
    <cellStyle name="Normal 21 5 3" xfId="6844"/>
    <cellStyle name="Normal 21 6" xfId="6845"/>
    <cellStyle name="Normal 21 6 2" xfId="6846"/>
    <cellStyle name="Normal 21 6 3" xfId="6847"/>
    <cellStyle name="Normal 21 7" xfId="6848"/>
    <cellStyle name="Normal 21 7 2" xfId="6849"/>
    <cellStyle name="Normal 21 7 3" xfId="6850"/>
    <cellStyle name="Normal 21 8" xfId="6851"/>
    <cellStyle name="Normal 21 8 2" xfId="6852"/>
    <cellStyle name="Normal 21 8 3" xfId="6853"/>
    <cellStyle name="Normal 21 9" xfId="6854"/>
    <cellStyle name="Normal 21 9 2" xfId="6855"/>
    <cellStyle name="Normal 21 9 3" xfId="6856"/>
    <cellStyle name="Normal 210" xfId="6857"/>
    <cellStyle name="Normal 211" xfId="6858"/>
    <cellStyle name="Normal 212" xfId="6859"/>
    <cellStyle name="Normal 213" xfId="6860"/>
    <cellStyle name="Normal 214" xfId="6861"/>
    <cellStyle name="Normal 215" xfId="6862"/>
    <cellStyle name="Normal 216" xfId="6863"/>
    <cellStyle name="Normal 217" xfId="6864"/>
    <cellStyle name="Normal 218" xfId="6865"/>
    <cellStyle name="Normal 219" xfId="6866"/>
    <cellStyle name="Normal 22" xfId="6867"/>
    <cellStyle name="Normal 22 10" xfId="6868"/>
    <cellStyle name="Normal 22 11" xfId="6869"/>
    <cellStyle name="Normal 22 12" xfId="6870"/>
    <cellStyle name="Normal 22 13" xfId="6871"/>
    <cellStyle name="Normal 22 14" xfId="6872"/>
    <cellStyle name="Normal 22 15" xfId="6873"/>
    <cellStyle name="Normal 22 16" xfId="6874"/>
    <cellStyle name="Normal 22 17" xfId="6875"/>
    <cellStyle name="Normal 22 18" xfId="6876"/>
    <cellStyle name="Normal 22 19" xfId="6877"/>
    <cellStyle name="Normal 22 2" xfId="6878"/>
    <cellStyle name="Normal 22 2 2" xfId="6879"/>
    <cellStyle name="Normal 22 2 3" xfId="6880"/>
    <cellStyle name="Normal 22 20" xfId="6881"/>
    <cellStyle name="Normal 22 21" xfId="6882"/>
    <cellStyle name="Normal 22 22" xfId="6883"/>
    <cellStyle name="Normal 22 23" xfId="6884"/>
    <cellStyle name="Normal 22 24" xfId="6885"/>
    <cellStyle name="Normal 22 25" xfId="6886"/>
    <cellStyle name="Normal 22 26" xfId="6887"/>
    <cellStyle name="Normal 22 27" xfId="6888"/>
    <cellStyle name="Normal 22 28" xfId="6889"/>
    <cellStyle name="Normal 22 29" xfId="6890"/>
    <cellStyle name="Normal 22 3" xfId="6891"/>
    <cellStyle name="Normal 22 3 2" xfId="6892"/>
    <cellStyle name="Normal 22 3 3" xfId="6893"/>
    <cellStyle name="Normal 22 30" xfId="6894"/>
    <cellStyle name="Normal 22 31" xfId="6895"/>
    <cellStyle name="Normal 22 32" xfId="6896"/>
    <cellStyle name="Normal 22 33" xfId="6897"/>
    <cellStyle name="Normal 22 34" xfId="6898"/>
    <cellStyle name="Normal 22 4" xfId="6899"/>
    <cellStyle name="Normal 22 4 2" xfId="6900"/>
    <cellStyle name="Normal 22 4 3" xfId="6901"/>
    <cellStyle name="Normal 22 5" xfId="6902"/>
    <cellStyle name="Normal 22 5 2" xfId="6903"/>
    <cellStyle name="Normal 22 5 3" xfId="6904"/>
    <cellStyle name="Normal 22 6" xfId="6905"/>
    <cellStyle name="Normal 22 6 2" xfId="6906"/>
    <cellStyle name="Normal 22 6 3" xfId="6907"/>
    <cellStyle name="Normal 22 7" xfId="6908"/>
    <cellStyle name="Normal 22 7 2" xfId="6909"/>
    <cellStyle name="Normal 22 7 3" xfId="6910"/>
    <cellStyle name="Normal 22 8" xfId="6911"/>
    <cellStyle name="Normal 22 8 2" xfId="6912"/>
    <cellStyle name="Normal 22 8 3" xfId="6913"/>
    <cellStyle name="Normal 22 9" xfId="6914"/>
    <cellStyle name="Normal 22 9 2" xfId="6915"/>
    <cellStyle name="Normal 22 9 3" xfId="6916"/>
    <cellStyle name="Normal 220" xfId="6917"/>
    <cellStyle name="Normal 221" xfId="6918"/>
    <cellStyle name="Normal 222" xfId="6919"/>
    <cellStyle name="Normal 223" xfId="6920"/>
    <cellStyle name="Normal 224" xfId="6921"/>
    <cellStyle name="Normal 225" xfId="6922"/>
    <cellStyle name="Normal 226" xfId="6923"/>
    <cellStyle name="Normal 227" xfId="6924"/>
    <cellStyle name="Normal 228" xfId="6925"/>
    <cellStyle name="Normal 229" xfId="6926"/>
    <cellStyle name="Normal 23" xfId="6927"/>
    <cellStyle name="Normal 23 10" xfId="6928"/>
    <cellStyle name="Normal 23 11" xfId="6929"/>
    <cellStyle name="Normal 23 12" xfId="6930"/>
    <cellStyle name="Normal 23 13" xfId="6931"/>
    <cellStyle name="Normal 23 14" xfId="6932"/>
    <cellStyle name="Normal 23 15" xfId="6933"/>
    <cellStyle name="Normal 23 16" xfId="6934"/>
    <cellStyle name="Normal 23 17" xfId="6935"/>
    <cellStyle name="Normal 23 18" xfId="6936"/>
    <cellStyle name="Normal 23 19" xfId="6937"/>
    <cellStyle name="Normal 23 2" xfId="6938"/>
    <cellStyle name="Normal 23 2 2" xfId="6939"/>
    <cellStyle name="Normal 23 2 3" xfId="6940"/>
    <cellStyle name="Normal 23 20" xfId="6941"/>
    <cellStyle name="Normal 23 21" xfId="6942"/>
    <cellStyle name="Normal 23 22" xfId="6943"/>
    <cellStyle name="Normal 23 23" xfId="6944"/>
    <cellStyle name="Normal 23 24" xfId="6945"/>
    <cellStyle name="Normal 23 25" xfId="6946"/>
    <cellStyle name="Normal 23 26" xfId="6947"/>
    <cellStyle name="Normal 23 27" xfId="6948"/>
    <cellStyle name="Normal 23 28" xfId="6949"/>
    <cellStyle name="Normal 23 29" xfId="6950"/>
    <cellStyle name="Normal 23 3" xfId="6951"/>
    <cellStyle name="Normal 23 3 2" xfId="6952"/>
    <cellStyle name="Normal 23 3 3" xfId="6953"/>
    <cellStyle name="Normal 23 30" xfId="6954"/>
    <cellStyle name="Normal 23 31" xfId="6955"/>
    <cellStyle name="Normal 23 32" xfId="6956"/>
    <cellStyle name="Normal 23 33" xfId="6957"/>
    <cellStyle name="Normal 23 34" xfId="6958"/>
    <cellStyle name="Normal 23 4" xfId="6959"/>
    <cellStyle name="Normal 23 4 2" xfId="6960"/>
    <cellStyle name="Normal 23 4 3" xfId="6961"/>
    <cellStyle name="Normal 23 5" xfId="6962"/>
    <cellStyle name="Normal 23 5 2" xfId="6963"/>
    <cellStyle name="Normal 23 5 3" xfId="6964"/>
    <cellStyle name="Normal 23 6" xfId="6965"/>
    <cellStyle name="Normal 23 6 2" xfId="6966"/>
    <cellStyle name="Normal 23 6 3" xfId="6967"/>
    <cellStyle name="Normal 23 7" xfId="6968"/>
    <cellStyle name="Normal 23 7 2" xfId="6969"/>
    <cellStyle name="Normal 23 7 3" xfId="6970"/>
    <cellStyle name="Normal 23 8" xfId="6971"/>
    <cellStyle name="Normal 23 8 2" xfId="6972"/>
    <cellStyle name="Normal 23 8 3" xfId="6973"/>
    <cellStyle name="Normal 23 9" xfId="6974"/>
    <cellStyle name="Normal 23 9 2" xfId="6975"/>
    <cellStyle name="Normal 23 9 3" xfId="6976"/>
    <cellStyle name="Normal 230" xfId="6977"/>
    <cellStyle name="Normal 231" xfId="6978"/>
    <cellStyle name="Normal 232" xfId="6979"/>
    <cellStyle name="Normal 233" xfId="6980"/>
    <cellStyle name="Normal 234" xfId="6981"/>
    <cellStyle name="Normal 235" xfId="6982"/>
    <cellStyle name="Normal 236" xfId="6983"/>
    <cellStyle name="Normal 237" xfId="6984"/>
    <cellStyle name="Normal 238" xfId="6985"/>
    <cellStyle name="Normal 239" xfId="6986"/>
    <cellStyle name="Normal 24" xfId="6987"/>
    <cellStyle name="Normal 24 10" xfId="6988"/>
    <cellStyle name="Normal 24 11" xfId="6989"/>
    <cellStyle name="Normal 24 11 2" xfId="6990"/>
    <cellStyle name="Normal 24 11 2 2" xfId="6991"/>
    <cellStyle name="Normal 24 11 3" xfId="6992"/>
    <cellStyle name="Normal 24 11 3 2" xfId="6993"/>
    <cellStyle name="Normal 24 11 4" xfId="6994"/>
    <cellStyle name="Normal 24 12" xfId="6995"/>
    <cellStyle name="Normal 24 13" xfId="6996"/>
    <cellStyle name="Normal 24 13 2" xfId="6997"/>
    <cellStyle name="Normal 24 14" xfId="6998"/>
    <cellStyle name="Normal 24 15" xfId="6999"/>
    <cellStyle name="Normal 24 16" xfId="7000"/>
    <cellStyle name="Normal 24 2" xfId="7001"/>
    <cellStyle name="Normal 24 2 10" xfId="7002"/>
    <cellStyle name="Normal 24 2 2" xfId="7003"/>
    <cellStyle name="Normal 24 2 2 2" xfId="7004"/>
    <cellStyle name="Normal 24 2 2 2 2" xfId="7005"/>
    <cellStyle name="Normal 24 2 2 2 2 2" xfId="7006"/>
    <cellStyle name="Normal 24 2 2 2 3" xfId="7007"/>
    <cellStyle name="Normal 24 2 2 2 3 2" xfId="7008"/>
    <cellStyle name="Normal 24 2 2 2 4" xfId="7009"/>
    <cellStyle name="Normal 24 2 2 3" xfId="7010"/>
    <cellStyle name="Normal 24 2 2 3 2" xfId="7011"/>
    <cellStyle name="Normal 24 2 2 3 2 2" xfId="7012"/>
    <cellStyle name="Normal 24 2 2 3 3" xfId="7013"/>
    <cellStyle name="Normal 24 2 2 3 3 2" xfId="7014"/>
    <cellStyle name="Normal 24 2 2 3 4" xfId="7015"/>
    <cellStyle name="Normal 24 2 2 4" xfId="7016"/>
    <cellStyle name="Normal 24 2 2 4 2" xfId="7017"/>
    <cellStyle name="Normal 24 2 2 4 2 2" xfId="7018"/>
    <cellStyle name="Normal 24 2 2 4 3" xfId="7019"/>
    <cellStyle name="Normal 24 2 2 4 3 2" xfId="7020"/>
    <cellStyle name="Normal 24 2 2 4 4" xfId="7021"/>
    <cellStyle name="Normal 24 2 2 5" xfId="7022"/>
    <cellStyle name="Normal 24 2 2 5 2" xfId="7023"/>
    <cellStyle name="Normal 24 2 2 6" xfId="7024"/>
    <cellStyle name="Normal 24 2 2 6 2" xfId="7025"/>
    <cellStyle name="Normal 24 2 2 7" xfId="7026"/>
    <cellStyle name="Normal 24 2 3" xfId="7027"/>
    <cellStyle name="Normal 24 2 3 2" xfId="7028"/>
    <cellStyle name="Normal 24 2 3 3" xfId="7029"/>
    <cellStyle name="Normal 24 2 3 3 2" xfId="7030"/>
    <cellStyle name="Normal 24 2 3 4" xfId="7031"/>
    <cellStyle name="Normal 24 2 3 4 2" xfId="7032"/>
    <cellStyle name="Normal 24 2 3 5" xfId="7033"/>
    <cellStyle name="Normal 24 2 4" xfId="7034"/>
    <cellStyle name="Normal 24 2 4 2" xfId="7035"/>
    <cellStyle name="Normal 24 2 4 2 2" xfId="7036"/>
    <cellStyle name="Normal 24 2 4 3" xfId="7037"/>
    <cellStyle name="Normal 24 2 4 3 2" xfId="7038"/>
    <cellStyle name="Normal 24 2 4 4" xfId="7039"/>
    <cellStyle name="Normal 24 2 5" xfId="7040"/>
    <cellStyle name="Normal 24 2 5 2" xfId="7041"/>
    <cellStyle name="Normal 24 2 5 2 2" xfId="7042"/>
    <cellStyle name="Normal 24 2 5 3" xfId="7043"/>
    <cellStyle name="Normal 24 2 5 3 2" xfId="7044"/>
    <cellStyle name="Normal 24 2 5 4" xfId="7045"/>
    <cellStyle name="Normal 24 2 6" xfId="7046"/>
    <cellStyle name="Normal 24 2 6 2" xfId="7047"/>
    <cellStyle name="Normal 24 2 7" xfId="7048"/>
    <cellStyle name="Normal 24 2 7 2" xfId="7049"/>
    <cellStyle name="Normal 24 2 8" xfId="7050"/>
    <cellStyle name="Normal 24 2 8 2" xfId="7051"/>
    <cellStyle name="Normal 24 2 9" xfId="7052"/>
    <cellStyle name="Normal 24 3" xfId="7053"/>
    <cellStyle name="Normal 24 3 10" xfId="7054"/>
    <cellStyle name="Normal 24 3 2" xfId="7055"/>
    <cellStyle name="Normal 24 3 2 2" xfId="7056"/>
    <cellStyle name="Normal 24 3 2 2 2" xfId="7057"/>
    <cellStyle name="Normal 24 3 2 2 2 2" xfId="7058"/>
    <cellStyle name="Normal 24 3 2 2 3" xfId="7059"/>
    <cellStyle name="Normal 24 3 2 2 3 2" xfId="7060"/>
    <cellStyle name="Normal 24 3 2 2 4" xfId="7061"/>
    <cellStyle name="Normal 24 3 2 3" xfId="7062"/>
    <cellStyle name="Normal 24 3 2 3 2" xfId="7063"/>
    <cellStyle name="Normal 24 3 2 3 2 2" xfId="7064"/>
    <cellStyle name="Normal 24 3 2 3 3" xfId="7065"/>
    <cellStyle name="Normal 24 3 2 3 3 2" xfId="7066"/>
    <cellStyle name="Normal 24 3 2 3 4" xfId="7067"/>
    <cellStyle name="Normal 24 3 2 4" xfId="7068"/>
    <cellStyle name="Normal 24 3 2 4 2" xfId="7069"/>
    <cellStyle name="Normal 24 3 2 4 2 2" xfId="7070"/>
    <cellStyle name="Normal 24 3 2 4 3" xfId="7071"/>
    <cellStyle name="Normal 24 3 2 4 3 2" xfId="7072"/>
    <cellStyle name="Normal 24 3 2 4 4" xfId="7073"/>
    <cellStyle name="Normal 24 3 2 5" xfId="7074"/>
    <cellStyle name="Normal 24 3 2 5 2" xfId="7075"/>
    <cellStyle name="Normal 24 3 2 6" xfId="7076"/>
    <cellStyle name="Normal 24 3 2 6 2" xfId="7077"/>
    <cellStyle name="Normal 24 3 2 7" xfId="7078"/>
    <cellStyle name="Normal 24 3 3" xfId="7079"/>
    <cellStyle name="Normal 24 3 3 2" xfId="7080"/>
    <cellStyle name="Normal 24 3 3 3" xfId="7081"/>
    <cellStyle name="Normal 24 3 3 3 2" xfId="7082"/>
    <cellStyle name="Normal 24 3 3 4" xfId="7083"/>
    <cellStyle name="Normal 24 3 3 4 2" xfId="7084"/>
    <cellStyle name="Normal 24 3 3 5" xfId="7085"/>
    <cellStyle name="Normal 24 3 4" xfId="7086"/>
    <cellStyle name="Normal 24 3 4 2" xfId="7087"/>
    <cellStyle name="Normal 24 3 4 2 2" xfId="7088"/>
    <cellStyle name="Normal 24 3 4 3" xfId="7089"/>
    <cellStyle name="Normal 24 3 4 3 2" xfId="7090"/>
    <cellStyle name="Normal 24 3 4 4" xfId="7091"/>
    <cellStyle name="Normal 24 3 5" xfId="7092"/>
    <cellStyle name="Normal 24 3 5 2" xfId="7093"/>
    <cellStyle name="Normal 24 3 5 2 2" xfId="7094"/>
    <cellStyle name="Normal 24 3 5 3" xfId="7095"/>
    <cellStyle name="Normal 24 3 5 3 2" xfId="7096"/>
    <cellStyle name="Normal 24 3 5 4" xfId="7097"/>
    <cellStyle name="Normal 24 3 6" xfId="7098"/>
    <cellStyle name="Normal 24 3 6 2" xfId="7099"/>
    <cellStyle name="Normal 24 3 7" xfId="7100"/>
    <cellStyle name="Normal 24 3 7 2" xfId="7101"/>
    <cellStyle name="Normal 24 3 8" xfId="7102"/>
    <cellStyle name="Normal 24 3 8 2" xfId="7103"/>
    <cellStyle name="Normal 24 3 9" xfId="7104"/>
    <cellStyle name="Normal 24 4" xfId="7105"/>
    <cellStyle name="Normal 24 4 2" xfId="7106"/>
    <cellStyle name="Normal 24 4 2 2" xfId="7107"/>
    <cellStyle name="Normal 24 4 2 3" xfId="7108"/>
    <cellStyle name="Normal 24 4 2 3 2" xfId="7109"/>
    <cellStyle name="Normal 24 4 2 4" xfId="7110"/>
    <cellStyle name="Normal 24 4 2 4 2" xfId="7111"/>
    <cellStyle name="Normal 24 4 2 5" xfId="7112"/>
    <cellStyle name="Normal 24 4 3" xfId="7113"/>
    <cellStyle name="Normal 24 4 3 2" xfId="7114"/>
    <cellStyle name="Normal 24 4 3 2 2" xfId="7115"/>
    <cellStyle name="Normal 24 4 3 3" xfId="7116"/>
    <cellStyle name="Normal 24 4 3 3 2" xfId="7117"/>
    <cellStyle name="Normal 24 4 3 4" xfId="7118"/>
    <cellStyle name="Normal 24 4 4" xfId="7119"/>
    <cellStyle name="Normal 24 4 4 2" xfId="7120"/>
    <cellStyle name="Normal 24 4 4 2 2" xfId="7121"/>
    <cellStyle name="Normal 24 4 4 3" xfId="7122"/>
    <cellStyle name="Normal 24 4 4 3 2" xfId="7123"/>
    <cellStyle name="Normal 24 4 4 4" xfId="7124"/>
    <cellStyle name="Normal 24 4 5" xfId="7125"/>
    <cellStyle name="Normal 24 4 5 2" xfId="7126"/>
    <cellStyle name="Normal 24 4 6" xfId="7127"/>
    <cellStyle name="Normal 24 4 6 2" xfId="7128"/>
    <cellStyle name="Normal 24 4 7" xfId="7129"/>
    <cellStyle name="Normal 24 5" xfId="7130"/>
    <cellStyle name="Normal 24 5 2" xfId="7131"/>
    <cellStyle name="Normal 24 5 3" xfId="7132"/>
    <cellStyle name="Normal 24 5 3 2" xfId="7133"/>
    <cellStyle name="Normal 24 5 4" xfId="7134"/>
    <cellStyle name="Normal 24 5 4 2" xfId="7135"/>
    <cellStyle name="Normal 24 5 5" xfId="7136"/>
    <cellStyle name="Normal 24 6" xfId="7137"/>
    <cellStyle name="Normal 24 6 2" xfId="7138"/>
    <cellStyle name="Normal 24 6 3" xfId="7139"/>
    <cellStyle name="Normal 24 6 3 2" xfId="7140"/>
    <cellStyle name="Normal 24 6 4" xfId="7141"/>
    <cellStyle name="Normal 24 6 4 2" xfId="7142"/>
    <cellStyle name="Normal 24 6 5" xfId="7143"/>
    <cellStyle name="Normal 24 7" xfId="7144"/>
    <cellStyle name="Normal 24 8" xfId="7145"/>
    <cellStyle name="Normal 24 9" xfId="7146"/>
    <cellStyle name="Normal 240" xfId="7147"/>
    <cellStyle name="Normal 241" xfId="7148"/>
    <cellStyle name="Normal 242" xfId="7149"/>
    <cellStyle name="Normal 243" xfId="7150"/>
    <cellStyle name="Normal 244" xfId="7151"/>
    <cellStyle name="Normal 245" xfId="7152"/>
    <cellStyle name="Normal 246" xfId="7153"/>
    <cellStyle name="Normal 247" xfId="7154"/>
    <cellStyle name="Normal 248" xfId="7155"/>
    <cellStyle name="Normal 249" xfId="7156"/>
    <cellStyle name="Normal 25" xfId="7157"/>
    <cellStyle name="Normal 25 10" xfId="7158"/>
    <cellStyle name="Normal 25 11" xfId="7159"/>
    <cellStyle name="Normal 25 11 2" xfId="7160"/>
    <cellStyle name="Normal 25 11 2 2" xfId="7161"/>
    <cellStyle name="Normal 25 11 3" xfId="7162"/>
    <cellStyle name="Normal 25 11 3 2" xfId="7163"/>
    <cellStyle name="Normal 25 11 4" xfId="7164"/>
    <cellStyle name="Normal 25 12" xfId="7165"/>
    <cellStyle name="Normal 25 13" xfId="7166"/>
    <cellStyle name="Normal 25 13 2" xfId="7167"/>
    <cellStyle name="Normal 25 14" xfId="7168"/>
    <cellStyle name="Normal 25 15" xfId="7169"/>
    <cellStyle name="Normal 25 16" xfId="7170"/>
    <cellStyle name="Normal 25 17" xfId="7171"/>
    <cellStyle name="Normal 25 18" xfId="7172"/>
    <cellStyle name="Normal 25 2" xfId="7173"/>
    <cellStyle name="Normal 25 2 10" xfId="7174"/>
    <cellStyle name="Normal 25 2 2" xfId="7175"/>
    <cellStyle name="Normal 25 2 2 2" xfId="7176"/>
    <cellStyle name="Normal 25 2 2 2 2" xfId="7177"/>
    <cellStyle name="Normal 25 2 2 2 2 2" xfId="7178"/>
    <cellStyle name="Normal 25 2 2 2 3" xfId="7179"/>
    <cellStyle name="Normal 25 2 2 2 3 2" xfId="7180"/>
    <cellStyle name="Normal 25 2 2 2 4" xfId="7181"/>
    <cellStyle name="Normal 25 2 2 3" xfId="7182"/>
    <cellStyle name="Normal 25 2 2 3 2" xfId="7183"/>
    <cellStyle name="Normal 25 2 2 3 2 2" xfId="7184"/>
    <cellStyle name="Normal 25 2 2 3 3" xfId="7185"/>
    <cellStyle name="Normal 25 2 2 3 3 2" xfId="7186"/>
    <cellStyle name="Normal 25 2 2 3 4" xfId="7187"/>
    <cellStyle name="Normal 25 2 2 4" xfId="7188"/>
    <cellStyle name="Normal 25 2 2 4 2" xfId="7189"/>
    <cellStyle name="Normal 25 2 2 4 2 2" xfId="7190"/>
    <cellStyle name="Normal 25 2 2 4 3" xfId="7191"/>
    <cellStyle name="Normal 25 2 2 4 3 2" xfId="7192"/>
    <cellStyle name="Normal 25 2 2 4 4" xfId="7193"/>
    <cellStyle name="Normal 25 2 2 5" xfId="7194"/>
    <cellStyle name="Normal 25 2 2 5 2" xfId="7195"/>
    <cellStyle name="Normal 25 2 2 6" xfId="7196"/>
    <cellStyle name="Normal 25 2 2 6 2" xfId="7197"/>
    <cellStyle name="Normal 25 2 2 7" xfId="7198"/>
    <cellStyle name="Normal 25 2 3" xfId="7199"/>
    <cellStyle name="Normal 25 2 3 2" xfId="7200"/>
    <cellStyle name="Normal 25 2 3 3" xfId="7201"/>
    <cellStyle name="Normal 25 2 3 3 2" xfId="7202"/>
    <cellStyle name="Normal 25 2 3 4" xfId="7203"/>
    <cellStyle name="Normal 25 2 3 4 2" xfId="7204"/>
    <cellStyle name="Normal 25 2 3 5" xfId="7205"/>
    <cellStyle name="Normal 25 2 4" xfId="7206"/>
    <cellStyle name="Normal 25 2 4 2" xfId="7207"/>
    <cellStyle name="Normal 25 2 4 2 2" xfId="7208"/>
    <cellStyle name="Normal 25 2 4 3" xfId="7209"/>
    <cellStyle name="Normal 25 2 4 3 2" xfId="7210"/>
    <cellStyle name="Normal 25 2 4 4" xfId="7211"/>
    <cellStyle name="Normal 25 2 5" xfId="7212"/>
    <cellStyle name="Normal 25 2 5 2" xfId="7213"/>
    <cellStyle name="Normal 25 2 5 2 2" xfId="7214"/>
    <cellStyle name="Normal 25 2 5 3" xfId="7215"/>
    <cellStyle name="Normal 25 2 5 3 2" xfId="7216"/>
    <cellStyle name="Normal 25 2 5 4" xfId="7217"/>
    <cellStyle name="Normal 25 2 6" xfId="7218"/>
    <cellStyle name="Normal 25 2 6 2" xfId="7219"/>
    <cellStyle name="Normal 25 2 7" xfId="7220"/>
    <cellStyle name="Normal 25 2 7 2" xfId="7221"/>
    <cellStyle name="Normal 25 2 8" xfId="7222"/>
    <cellStyle name="Normal 25 2 8 2" xfId="7223"/>
    <cellStyle name="Normal 25 2 9" xfId="7224"/>
    <cellStyle name="Normal 25 3" xfId="7225"/>
    <cellStyle name="Normal 25 3 10" xfId="7226"/>
    <cellStyle name="Normal 25 3 2" xfId="7227"/>
    <cellStyle name="Normal 25 3 2 2" xfId="7228"/>
    <cellStyle name="Normal 25 3 2 2 2" xfId="7229"/>
    <cellStyle name="Normal 25 3 2 2 2 2" xfId="7230"/>
    <cellStyle name="Normal 25 3 2 2 3" xfId="7231"/>
    <cellStyle name="Normal 25 3 2 2 3 2" xfId="7232"/>
    <cellStyle name="Normal 25 3 2 2 4" xfId="7233"/>
    <cellStyle name="Normal 25 3 2 3" xfId="7234"/>
    <cellStyle name="Normal 25 3 2 3 2" xfId="7235"/>
    <cellStyle name="Normal 25 3 2 3 2 2" xfId="7236"/>
    <cellStyle name="Normal 25 3 2 3 3" xfId="7237"/>
    <cellStyle name="Normal 25 3 2 3 3 2" xfId="7238"/>
    <cellStyle name="Normal 25 3 2 3 4" xfId="7239"/>
    <cellStyle name="Normal 25 3 2 4" xfId="7240"/>
    <cellStyle name="Normal 25 3 2 4 2" xfId="7241"/>
    <cellStyle name="Normal 25 3 2 4 2 2" xfId="7242"/>
    <cellStyle name="Normal 25 3 2 4 3" xfId="7243"/>
    <cellStyle name="Normal 25 3 2 4 3 2" xfId="7244"/>
    <cellStyle name="Normal 25 3 2 4 4" xfId="7245"/>
    <cellStyle name="Normal 25 3 2 5" xfId="7246"/>
    <cellStyle name="Normal 25 3 2 5 2" xfId="7247"/>
    <cellStyle name="Normal 25 3 2 6" xfId="7248"/>
    <cellStyle name="Normal 25 3 2 6 2" xfId="7249"/>
    <cellStyle name="Normal 25 3 2 7" xfId="7250"/>
    <cellStyle name="Normal 25 3 3" xfId="7251"/>
    <cellStyle name="Normal 25 3 3 2" xfId="7252"/>
    <cellStyle name="Normal 25 3 3 3" xfId="7253"/>
    <cellStyle name="Normal 25 3 3 3 2" xfId="7254"/>
    <cellStyle name="Normal 25 3 3 4" xfId="7255"/>
    <cellStyle name="Normal 25 3 3 4 2" xfId="7256"/>
    <cellStyle name="Normal 25 3 3 5" xfId="7257"/>
    <cellStyle name="Normal 25 3 4" xfId="7258"/>
    <cellStyle name="Normal 25 3 4 2" xfId="7259"/>
    <cellStyle name="Normal 25 3 4 2 2" xfId="7260"/>
    <cellStyle name="Normal 25 3 4 3" xfId="7261"/>
    <cellStyle name="Normal 25 3 4 3 2" xfId="7262"/>
    <cellStyle name="Normal 25 3 4 4" xfId="7263"/>
    <cellStyle name="Normal 25 3 5" xfId="7264"/>
    <cellStyle name="Normal 25 3 5 2" xfId="7265"/>
    <cellStyle name="Normal 25 3 5 2 2" xfId="7266"/>
    <cellStyle name="Normal 25 3 5 3" xfId="7267"/>
    <cellStyle name="Normal 25 3 5 3 2" xfId="7268"/>
    <cellStyle name="Normal 25 3 5 4" xfId="7269"/>
    <cellStyle name="Normal 25 3 6" xfId="7270"/>
    <cellStyle name="Normal 25 3 6 2" xfId="7271"/>
    <cellStyle name="Normal 25 3 7" xfId="7272"/>
    <cellStyle name="Normal 25 3 7 2" xfId="7273"/>
    <cellStyle name="Normal 25 3 8" xfId="7274"/>
    <cellStyle name="Normal 25 3 8 2" xfId="7275"/>
    <cellStyle name="Normal 25 3 9" xfId="7276"/>
    <cellStyle name="Normal 25 4" xfId="7277"/>
    <cellStyle name="Normal 25 4 2" xfId="7278"/>
    <cellStyle name="Normal 25 4 2 2" xfId="7279"/>
    <cellStyle name="Normal 25 4 2 3" xfId="7280"/>
    <cellStyle name="Normal 25 4 2 3 2" xfId="7281"/>
    <cellStyle name="Normal 25 4 2 4" xfId="7282"/>
    <cellStyle name="Normal 25 4 2 4 2" xfId="7283"/>
    <cellStyle name="Normal 25 4 2 5" xfId="7284"/>
    <cellStyle name="Normal 25 4 3" xfId="7285"/>
    <cellStyle name="Normal 25 4 3 2" xfId="7286"/>
    <cellStyle name="Normal 25 4 3 2 2" xfId="7287"/>
    <cellStyle name="Normal 25 4 3 3" xfId="7288"/>
    <cellStyle name="Normal 25 4 3 3 2" xfId="7289"/>
    <cellStyle name="Normal 25 4 3 4" xfId="7290"/>
    <cellStyle name="Normal 25 4 4" xfId="7291"/>
    <cellStyle name="Normal 25 4 4 2" xfId="7292"/>
    <cellStyle name="Normal 25 4 4 2 2" xfId="7293"/>
    <cellStyle name="Normal 25 4 4 3" xfId="7294"/>
    <cellStyle name="Normal 25 4 4 3 2" xfId="7295"/>
    <cellStyle name="Normal 25 4 4 4" xfId="7296"/>
    <cellStyle name="Normal 25 4 5" xfId="7297"/>
    <cellStyle name="Normal 25 4 5 2" xfId="7298"/>
    <cellStyle name="Normal 25 4 6" xfId="7299"/>
    <cellStyle name="Normal 25 4 6 2" xfId="7300"/>
    <cellStyle name="Normal 25 4 7" xfId="7301"/>
    <cellStyle name="Normal 25 5" xfId="7302"/>
    <cellStyle name="Normal 25 5 2" xfId="7303"/>
    <cellStyle name="Normal 25 5 3" xfId="7304"/>
    <cellStyle name="Normal 25 5 3 2" xfId="7305"/>
    <cellStyle name="Normal 25 5 4" xfId="7306"/>
    <cellStyle name="Normal 25 5 4 2" xfId="7307"/>
    <cellStyle name="Normal 25 5 5" xfId="7308"/>
    <cellStyle name="Normal 25 6" xfId="7309"/>
    <cellStyle name="Normal 25 6 2" xfId="7310"/>
    <cellStyle name="Normal 25 6 3" xfId="7311"/>
    <cellStyle name="Normal 25 6 3 2" xfId="7312"/>
    <cellStyle name="Normal 25 6 4" xfId="7313"/>
    <cellStyle name="Normal 25 6 4 2" xfId="7314"/>
    <cellStyle name="Normal 25 6 5" xfId="7315"/>
    <cellStyle name="Normal 25 7" xfId="7316"/>
    <cellStyle name="Normal 25 8" xfId="7317"/>
    <cellStyle name="Normal 25 9" xfId="7318"/>
    <cellStyle name="Normal 250" xfId="7319"/>
    <cellStyle name="Normal 251" xfId="7320"/>
    <cellStyle name="Normal 252" xfId="7321"/>
    <cellStyle name="Normal 253" xfId="7322"/>
    <cellStyle name="Normal 254" xfId="7323"/>
    <cellStyle name="Normal 255" xfId="7324"/>
    <cellStyle name="Normal 256" xfId="7325"/>
    <cellStyle name="Normal 257" xfId="7326"/>
    <cellStyle name="Normal 258" xfId="7327"/>
    <cellStyle name="Normal 259" xfId="7328"/>
    <cellStyle name="Normal 26" xfId="7329"/>
    <cellStyle name="Normal 26 10" xfId="7330"/>
    <cellStyle name="Normal 26 11" xfId="7331"/>
    <cellStyle name="Normal 26 11 2" xfId="7332"/>
    <cellStyle name="Normal 26 11 2 2" xfId="7333"/>
    <cellStyle name="Normal 26 11 3" xfId="7334"/>
    <cellStyle name="Normal 26 11 3 2" xfId="7335"/>
    <cellStyle name="Normal 26 11 4" xfId="7336"/>
    <cellStyle name="Normal 26 12" xfId="7337"/>
    <cellStyle name="Normal 26 13" xfId="7338"/>
    <cellStyle name="Normal 26 13 2" xfId="7339"/>
    <cellStyle name="Normal 26 14" xfId="7340"/>
    <cellStyle name="Normal 26 15" xfId="7341"/>
    <cellStyle name="Normal 26 16" xfId="7342"/>
    <cellStyle name="Normal 26 2" xfId="7343"/>
    <cellStyle name="Normal 26 2 10" xfId="7344"/>
    <cellStyle name="Normal 26 2 2" xfId="7345"/>
    <cellStyle name="Normal 26 2 2 2" xfId="7346"/>
    <cellStyle name="Normal 26 2 2 2 2" xfId="7347"/>
    <cellStyle name="Normal 26 2 2 2 2 2" xfId="7348"/>
    <cellStyle name="Normal 26 2 2 2 3" xfId="7349"/>
    <cellStyle name="Normal 26 2 2 2 3 2" xfId="7350"/>
    <cellStyle name="Normal 26 2 2 2 4" xfId="7351"/>
    <cellStyle name="Normal 26 2 2 3" xfId="7352"/>
    <cellStyle name="Normal 26 2 2 3 2" xfId="7353"/>
    <cellStyle name="Normal 26 2 2 3 2 2" xfId="7354"/>
    <cellStyle name="Normal 26 2 2 3 3" xfId="7355"/>
    <cellStyle name="Normal 26 2 2 3 3 2" xfId="7356"/>
    <cellStyle name="Normal 26 2 2 3 4" xfId="7357"/>
    <cellStyle name="Normal 26 2 2 4" xfId="7358"/>
    <cellStyle name="Normal 26 2 2 4 2" xfId="7359"/>
    <cellStyle name="Normal 26 2 2 4 2 2" xfId="7360"/>
    <cellStyle name="Normal 26 2 2 4 3" xfId="7361"/>
    <cellStyle name="Normal 26 2 2 4 3 2" xfId="7362"/>
    <cellStyle name="Normal 26 2 2 4 4" xfId="7363"/>
    <cellStyle name="Normal 26 2 2 5" xfId="7364"/>
    <cellStyle name="Normal 26 2 2 5 2" xfId="7365"/>
    <cellStyle name="Normal 26 2 2 6" xfId="7366"/>
    <cellStyle name="Normal 26 2 2 6 2" xfId="7367"/>
    <cellStyle name="Normal 26 2 2 7" xfId="7368"/>
    <cellStyle name="Normal 26 2 3" xfId="7369"/>
    <cellStyle name="Normal 26 2 3 2" xfId="7370"/>
    <cellStyle name="Normal 26 2 3 3" xfId="7371"/>
    <cellStyle name="Normal 26 2 3 3 2" xfId="7372"/>
    <cellStyle name="Normal 26 2 3 4" xfId="7373"/>
    <cellStyle name="Normal 26 2 3 4 2" xfId="7374"/>
    <cellStyle name="Normal 26 2 3 5" xfId="7375"/>
    <cellStyle name="Normal 26 2 4" xfId="7376"/>
    <cellStyle name="Normal 26 2 4 2" xfId="7377"/>
    <cellStyle name="Normal 26 2 4 2 2" xfId="7378"/>
    <cellStyle name="Normal 26 2 4 3" xfId="7379"/>
    <cellStyle name="Normal 26 2 4 3 2" xfId="7380"/>
    <cellStyle name="Normal 26 2 4 4" xfId="7381"/>
    <cellStyle name="Normal 26 2 5" xfId="7382"/>
    <cellStyle name="Normal 26 2 5 2" xfId="7383"/>
    <cellStyle name="Normal 26 2 5 2 2" xfId="7384"/>
    <cellStyle name="Normal 26 2 5 3" xfId="7385"/>
    <cellStyle name="Normal 26 2 5 3 2" xfId="7386"/>
    <cellStyle name="Normal 26 2 5 4" xfId="7387"/>
    <cellStyle name="Normal 26 2 6" xfId="7388"/>
    <cellStyle name="Normal 26 2 6 2" xfId="7389"/>
    <cellStyle name="Normal 26 2 7" xfId="7390"/>
    <cellStyle name="Normal 26 2 7 2" xfId="7391"/>
    <cellStyle name="Normal 26 2 8" xfId="7392"/>
    <cellStyle name="Normal 26 2 8 2" xfId="7393"/>
    <cellStyle name="Normal 26 2 9" xfId="7394"/>
    <cellStyle name="Normal 26 3" xfId="7395"/>
    <cellStyle name="Normal 26 3 10" xfId="7396"/>
    <cellStyle name="Normal 26 3 2" xfId="7397"/>
    <cellStyle name="Normal 26 3 2 2" xfId="7398"/>
    <cellStyle name="Normal 26 3 2 2 2" xfId="7399"/>
    <cellStyle name="Normal 26 3 2 2 2 2" xfId="7400"/>
    <cellStyle name="Normal 26 3 2 2 3" xfId="7401"/>
    <cellStyle name="Normal 26 3 2 2 3 2" xfId="7402"/>
    <cellStyle name="Normal 26 3 2 2 4" xfId="7403"/>
    <cellStyle name="Normal 26 3 2 3" xfId="7404"/>
    <cellStyle name="Normal 26 3 2 3 2" xfId="7405"/>
    <cellStyle name="Normal 26 3 2 3 2 2" xfId="7406"/>
    <cellStyle name="Normal 26 3 2 3 3" xfId="7407"/>
    <cellStyle name="Normal 26 3 2 3 3 2" xfId="7408"/>
    <cellStyle name="Normal 26 3 2 3 4" xfId="7409"/>
    <cellStyle name="Normal 26 3 2 4" xfId="7410"/>
    <cellStyle name="Normal 26 3 2 4 2" xfId="7411"/>
    <cellStyle name="Normal 26 3 2 4 2 2" xfId="7412"/>
    <cellStyle name="Normal 26 3 2 4 3" xfId="7413"/>
    <cellStyle name="Normal 26 3 2 4 3 2" xfId="7414"/>
    <cellStyle name="Normal 26 3 2 4 4" xfId="7415"/>
    <cellStyle name="Normal 26 3 2 5" xfId="7416"/>
    <cellStyle name="Normal 26 3 2 5 2" xfId="7417"/>
    <cellStyle name="Normal 26 3 2 6" xfId="7418"/>
    <cellStyle name="Normal 26 3 2 6 2" xfId="7419"/>
    <cellStyle name="Normal 26 3 2 7" xfId="7420"/>
    <cellStyle name="Normal 26 3 3" xfId="7421"/>
    <cellStyle name="Normal 26 3 3 2" xfId="7422"/>
    <cellStyle name="Normal 26 3 3 3" xfId="7423"/>
    <cellStyle name="Normal 26 3 3 3 2" xfId="7424"/>
    <cellStyle name="Normal 26 3 3 4" xfId="7425"/>
    <cellStyle name="Normal 26 3 3 4 2" xfId="7426"/>
    <cellStyle name="Normal 26 3 3 5" xfId="7427"/>
    <cellStyle name="Normal 26 3 4" xfId="7428"/>
    <cellStyle name="Normal 26 3 4 2" xfId="7429"/>
    <cellStyle name="Normal 26 3 4 2 2" xfId="7430"/>
    <cellStyle name="Normal 26 3 4 3" xfId="7431"/>
    <cellStyle name="Normal 26 3 4 3 2" xfId="7432"/>
    <cellStyle name="Normal 26 3 4 4" xfId="7433"/>
    <cellStyle name="Normal 26 3 5" xfId="7434"/>
    <cellStyle name="Normal 26 3 5 2" xfId="7435"/>
    <cellStyle name="Normal 26 3 5 2 2" xfId="7436"/>
    <cellStyle name="Normal 26 3 5 3" xfId="7437"/>
    <cellStyle name="Normal 26 3 5 3 2" xfId="7438"/>
    <cellStyle name="Normal 26 3 5 4" xfId="7439"/>
    <cellStyle name="Normal 26 3 6" xfId="7440"/>
    <cellStyle name="Normal 26 3 6 2" xfId="7441"/>
    <cellStyle name="Normal 26 3 7" xfId="7442"/>
    <cellStyle name="Normal 26 3 7 2" xfId="7443"/>
    <cellStyle name="Normal 26 3 8" xfId="7444"/>
    <cellStyle name="Normal 26 3 8 2" xfId="7445"/>
    <cellStyle name="Normal 26 3 9" xfId="7446"/>
    <cellStyle name="Normal 26 4" xfId="7447"/>
    <cellStyle name="Normal 26 4 2" xfId="7448"/>
    <cellStyle name="Normal 26 4 2 2" xfId="7449"/>
    <cellStyle name="Normal 26 4 2 3" xfId="7450"/>
    <cellStyle name="Normal 26 4 2 3 2" xfId="7451"/>
    <cellStyle name="Normal 26 4 2 4" xfId="7452"/>
    <cellStyle name="Normal 26 4 2 4 2" xfId="7453"/>
    <cellStyle name="Normal 26 4 2 5" xfId="7454"/>
    <cellStyle name="Normal 26 4 3" xfId="7455"/>
    <cellStyle name="Normal 26 4 3 2" xfId="7456"/>
    <cellStyle name="Normal 26 4 3 2 2" xfId="7457"/>
    <cellStyle name="Normal 26 4 3 3" xfId="7458"/>
    <cellStyle name="Normal 26 4 3 3 2" xfId="7459"/>
    <cellStyle name="Normal 26 4 3 4" xfId="7460"/>
    <cellStyle name="Normal 26 4 4" xfId="7461"/>
    <cellStyle name="Normal 26 4 4 2" xfId="7462"/>
    <cellStyle name="Normal 26 4 4 2 2" xfId="7463"/>
    <cellStyle name="Normal 26 4 4 3" xfId="7464"/>
    <cellStyle name="Normal 26 4 4 3 2" xfId="7465"/>
    <cellStyle name="Normal 26 4 4 4" xfId="7466"/>
    <cellStyle name="Normal 26 4 5" xfId="7467"/>
    <cellStyle name="Normal 26 4 5 2" xfId="7468"/>
    <cellStyle name="Normal 26 4 6" xfId="7469"/>
    <cellStyle name="Normal 26 4 6 2" xfId="7470"/>
    <cellStyle name="Normal 26 4 7" xfId="7471"/>
    <cellStyle name="Normal 26 5" xfId="7472"/>
    <cellStyle name="Normal 26 5 2" xfId="7473"/>
    <cellStyle name="Normal 26 5 3" xfId="7474"/>
    <cellStyle name="Normal 26 5 3 2" xfId="7475"/>
    <cellStyle name="Normal 26 5 4" xfId="7476"/>
    <cellStyle name="Normal 26 5 4 2" xfId="7477"/>
    <cellStyle name="Normal 26 5 5" xfId="7478"/>
    <cellStyle name="Normal 26 6" xfId="7479"/>
    <cellStyle name="Normal 26 6 2" xfId="7480"/>
    <cellStyle name="Normal 26 6 3" xfId="7481"/>
    <cellStyle name="Normal 26 6 3 2" xfId="7482"/>
    <cellStyle name="Normal 26 6 4" xfId="7483"/>
    <cellStyle name="Normal 26 6 4 2" xfId="7484"/>
    <cellStyle name="Normal 26 6 5" xfId="7485"/>
    <cellStyle name="Normal 26 7" xfId="7486"/>
    <cellStyle name="Normal 26 8" xfId="7487"/>
    <cellStyle name="Normal 26 9" xfId="7488"/>
    <cellStyle name="Normal 260" xfId="7489"/>
    <cellStyle name="Normal 261" xfId="7490"/>
    <cellStyle name="Normal 262" xfId="7491"/>
    <cellStyle name="Normal 263" xfId="7492"/>
    <cellStyle name="Normal 264" xfId="7493"/>
    <cellStyle name="Normal 265" xfId="7494"/>
    <cellStyle name="Normal 266" xfId="7495"/>
    <cellStyle name="Normal 267" xfId="7496"/>
    <cellStyle name="Normal 268" xfId="7497"/>
    <cellStyle name="Normal 269" xfId="7498"/>
    <cellStyle name="Normal 27" xfId="7499"/>
    <cellStyle name="Normal 27 10" xfId="7500"/>
    <cellStyle name="Normal 27 11" xfId="7501"/>
    <cellStyle name="Normal 27 11 2" xfId="7502"/>
    <cellStyle name="Normal 27 11 2 2" xfId="7503"/>
    <cellStyle name="Normal 27 11 3" xfId="7504"/>
    <cellStyle name="Normal 27 11 3 2" xfId="7505"/>
    <cellStyle name="Normal 27 11 4" xfId="7506"/>
    <cellStyle name="Normal 27 12" xfId="7507"/>
    <cellStyle name="Normal 27 13" xfId="7508"/>
    <cellStyle name="Normal 27 13 2" xfId="7509"/>
    <cellStyle name="Normal 27 14" xfId="7510"/>
    <cellStyle name="Normal 27 15" xfId="7511"/>
    <cellStyle name="Normal 27 16" xfId="7512"/>
    <cellStyle name="Normal 27 2" xfId="7513"/>
    <cellStyle name="Normal 27 2 10" xfId="7514"/>
    <cellStyle name="Normal 27 2 2" xfId="7515"/>
    <cellStyle name="Normal 27 2 2 2" xfId="7516"/>
    <cellStyle name="Normal 27 2 2 2 2" xfId="7517"/>
    <cellStyle name="Normal 27 2 2 2 2 2" xfId="7518"/>
    <cellStyle name="Normal 27 2 2 2 3" xfId="7519"/>
    <cellStyle name="Normal 27 2 2 2 3 2" xfId="7520"/>
    <cellStyle name="Normal 27 2 2 2 4" xfId="7521"/>
    <cellStyle name="Normal 27 2 2 3" xfId="7522"/>
    <cellStyle name="Normal 27 2 2 3 2" xfId="7523"/>
    <cellStyle name="Normal 27 2 2 3 2 2" xfId="7524"/>
    <cellStyle name="Normal 27 2 2 3 3" xfId="7525"/>
    <cellStyle name="Normal 27 2 2 3 3 2" xfId="7526"/>
    <cellStyle name="Normal 27 2 2 3 4" xfId="7527"/>
    <cellStyle name="Normal 27 2 2 4" xfId="7528"/>
    <cellStyle name="Normal 27 2 2 4 2" xfId="7529"/>
    <cellStyle name="Normal 27 2 2 4 2 2" xfId="7530"/>
    <cellStyle name="Normal 27 2 2 4 3" xfId="7531"/>
    <cellStyle name="Normal 27 2 2 4 3 2" xfId="7532"/>
    <cellStyle name="Normal 27 2 2 4 4" xfId="7533"/>
    <cellStyle name="Normal 27 2 2 5" xfId="7534"/>
    <cellStyle name="Normal 27 2 2 5 2" xfId="7535"/>
    <cellStyle name="Normal 27 2 2 6" xfId="7536"/>
    <cellStyle name="Normal 27 2 2 6 2" xfId="7537"/>
    <cellStyle name="Normal 27 2 2 7" xfId="7538"/>
    <cellStyle name="Normal 27 2 3" xfId="7539"/>
    <cellStyle name="Normal 27 2 3 2" xfId="7540"/>
    <cellStyle name="Normal 27 2 3 3" xfId="7541"/>
    <cellStyle name="Normal 27 2 3 3 2" xfId="7542"/>
    <cellStyle name="Normal 27 2 3 4" xfId="7543"/>
    <cellStyle name="Normal 27 2 3 4 2" xfId="7544"/>
    <cellStyle name="Normal 27 2 3 5" xfId="7545"/>
    <cellStyle name="Normal 27 2 4" xfId="7546"/>
    <cellStyle name="Normal 27 2 4 2" xfId="7547"/>
    <cellStyle name="Normal 27 2 4 2 2" xfId="7548"/>
    <cellStyle name="Normal 27 2 4 3" xfId="7549"/>
    <cellStyle name="Normal 27 2 4 3 2" xfId="7550"/>
    <cellStyle name="Normal 27 2 4 4" xfId="7551"/>
    <cellStyle name="Normal 27 2 5" xfId="7552"/>
    <cellStyle name="Normal 27 2 5 2" xfId="7553"/>
    <cellStyle name="Normal 27 2 5 2 2" xfId="7554"/>
    <cellStyle name="Normal 27 2 5 3" xfId="7555"/>
    <cellStyle name="Normal 27 2 5 3 2" xfId="7556"/>
    <cellStyle name="Normal 27 2 5 4" xfId="7557"/>
    <cellStyle name="Normal 27 2 6" xfId="7558"/>
    <cellStyle name="Normal 27 2 6 2" xfId="7559"/>
    <cellStyle name="Normal 27 2 7" xfId="7560"/>
    <cellStyle name="Normal 27 2 7 2" xfId="7561"/>
    <cellStyle name="Normal 27 2 8" xfId="7562"/>
    <cellStyle name="Normal 27 2 8 2" xfId="7563"/>
    <cellStyle name="Normal 27 2 9" xfId="7564"/>
    <cellStyle name="Normal 27 3" xfId="7565"/>
    <cellStyle name="Normal 27 3 10" xfId="7566"/>
    <cellStyle name="Normal 27 3 2" xfId="7567"/>
    <cellStyle name="Normal 27 3 2 2" xfId="7568"/>
    <cellStyle name="Normal 27 3 2 2 2" xfId="7569"/>
    <cellStyle name="Normal 27 3 2 2 2 2" xfId="7570"/>
    <cellStyle name="Normal 27 3 2 2 3" xfId="7571"/>
    <cellStyle name="Normal 27 3 2 2 3 2" xfId="7572"/>
    <cellStyle name="Normal 27 3 2 2 4" xfId="7573"/>
    <cellStyle name="Normal 27 3 2 3" xfId="7574"/>
    <cellStyle name="Normal 27 3 2 3 2" xfId="7575"/>
    <cellStyle name="Normal 27 3 2 3 2 2" xfId="7576"/>
    <cellStyle name="Normal 27 3 2 3 3" xfId="7577"/>
    <cellStyle name="Normal 27 3 2 3 3 2" xfId="7578"/>
    <cellStyle name="Normal 27 3 2 3 4" xfId="7579"/>
    <cellStyle name="Normal 27 3 2 4" xfId="7580"/>
    <cellStyle name="Normal 27 3 2 4 2" xfId="7581"/>
    <cellStyle name="Normal 27 3 2 4 2 2" xfId="7582"/>
    <cellStyle name="Normal 27 3 2 4 3" xfId="7583"/>
    <cellStyle name="Normal 27 3 2 4 3 2" xfId="7584"/>
    <cellStyle name="Normal 27 3 2 4 4" xfId="7585"/>
    <cellStyle name="Normal 27 3 2 5" xfId="7586"/>
    <cellStyle name="Normal 27 3 2 5 2" xfId="7587"/>
    <cellStyle name="Normal 27 3 2 6" xfId="7588"/>
    <cellStyle name="Normal 27 3 2 6 2" xfId="7589"/>
    <cellStyle name="Normal 27 3 2 7" xfId="7590"/>
    <cellStyle name="Normal 27 3 3" xfId="7591"/>
    <cellStyle name="Normal 27 3 3 2" xfId="7592"/>
    <cellStyle name="Normal 27 3 3 3" xfId="7593"/>
    <cellStyle name="Normal 27 3 3 3 2" xfId="7594"/>
    <cellStyle name="Normal 27 3 3 4" xfId="7595"/>
    <cellStyle name="Normal 27 3 3 4 2" xfId="7596"/>
    <cellStyle name="Normal 27 3 3 5" xfId="7597"/>
    <cellStyle name="Normal 27 3 4" xfId="7598"/>
    <cellStyle name="Normal 27 3 4 2" xfId="7599"/>
    <cellStyle name="Normal 27 3 4 2 2" xfId="7600"/>
    <cellStyle name="Normal 27 3 4 3" xfId="7601"/>
    <cellStyle name="Normal 27 3 4 3 2" xfId="7602"/>
    <cellStyle name="Normal 27 3 4 4" xfId="7603"/>
    <cellStyle name="Normal 27 3 5" xfId="7604"/>
    <cellStyle name="Normal 27 3 5 2" xfId="7605"/>
    <cellStyle name="Normal 27 3 5 2 2" xfId="7606"/>
    <cellStyle name="Normal 27 3 5 3" xfId="7607"/>
    <cellStyle name="Normal 27 3 5 3 2" xfId="7608"/>
    <cellStyle name="Normal 27 3 5 4" xfId="7609"/>
    <cellStyle name="Normal 27 3 6" xfId="7610"/>
    <cellStyle name="Normal 27 3 6 2" xfId="7611"/>
    <cellStyle name="Normal 27 3 7" xfId="7612"/>
    <cellStyle name="Normal 27 3 7 2" xfId="7613"/>
    <cellStyle name="Normal 27 3 8" xfId="7614"/>
    <cellStyle name="Normal 27 3 8 2" xfId="7615"/>
    <cellStyle name="Normal 27 3 9" xfId="7616"/>
    <cellStyle name="Normal 27 4" xfId="7617"/>
    <cellStyle name="Normal 27 4 2" xfId="7618"/>
    <cellStyle name="Normal 27 4 2 2" xfId="7619"/>
    <cellStyle name="Normal 27 4 2 3" xfId="7620"/>
    <cellStyle name="Normal 27 4 2 3 2" xfId="7621"/>
    <cellStyle name="Normal 27 4 2 4" xfId="7622"/>
    <cellStyle name="Normal 27 4 2 4 2" xfId="7623"/>
    <cellStyle name="Normal 27 4 2 5" xfId="7624"/>
    <cellStyle name="Normal 27 4 3" xfId="7625"/>
    <cellStyle name="Normal 27 4 3 2" xfId="7626"/>
    <cellStyle name="Normal 27 4 3 2 2" xfId="7627"/>
    <cellStyle name="Normal 27 4 3 3" xfId="7628"/>
    <cellStyle name="Normal 27 4 3 3 2" xfId="7629"/>
    <cellStyle name="Normal 27 4 3 4" xfId="7630"/>
    <cellStyle name="Normal 27 4 4" xfId="7631"/>
    <cellStyle name="Normal 27 4 4 2" xfId="7632"/>
    <cellStyle name="Normal 27 4 4 2 2" xfId="7633"/>
    <cellStyle name="Normal 27 4 4 3" xfId="7634"/>
    <cellStyle name="Normal 27 4 4 3 2" xfId="7635"/>
    <cellStyle name="Normal 27 4 4 4" xfId="7636"/>
    <cellStyle name="Normal 27 4 5" xfId="7637"/>
    <cellStyle name="Normal 27 4 5 2" xfId="7638"/>
    <cellStyle name="Normal 27 4 6" xfId="7639"/>
    <cellStyle name="Normal 27 4 6 2" xfId="7640"/>
    <cellStyle name="Normal 27 4 7" xfId="7641"/>
    <cellStyle name="Normal 27 5" xfId="7642"/>
    <cellStyle name="Normal 27 5 2" xfId="7643"/>
    <cellStyle name="Normal 27 5 3" xfId="7644"/>
    <cellStyle name="Normal 27 5 3 2" xfId="7645"/>
    <cellStyle name="Normal 27 5 4" xfId="7646"/>
    <cellStyle name="Normal 27 5 4 2" xfId="7647"/>
    <cellStyle name="Normal 27 5 5" xfId="7648"/>
    <cellStyle name="Normal 27 6" xfId="7649"/>
    <cellStyle name="Normal 27 6 2" xfId="7650"/>
    <cellStyle name="Normal 27 6 3" xfId="7651"/>
    <cellStyle name="Normal 27 6 3 2" xfId="7652"/>
    <cellStyle name="Normal 27 6 4" xfId="7653"/>
    <cellStyle name="Normal 27 6 4 2" xfId="7654"/>
    <cellStyle name="Normal 27 6 5" xfId="7655"/>
    <cellStyle name="Normal 27 7" xfId="7656"/>
    <cellStyle name="Normal 27 8" xfId="7657"/>
    <cellStyle name="Normal 27 9" xfId="7658"/>
    <cellStyle name="Normal 270" xfId="7659"/>
    <cellStyle name="Normal 271" xfId="7660"/>
    <cellStyle name="Normal 272" xfId="7661"/>
    <cellStyle name="Normal 273" xfId="7662"/>
    <cellStyle name="Normal 274" xfId="7663"/>
    <cellStyle name="Normal 275" xfId="7664"/>
    <cellStyle name="Normal 276" xfId="7665"/>
    <cellStyle name="Normal 277" xfId="7666"/>
    <cellStyle name="Normal 278" xfId="7667"/>
    <cellStyle name="Normal 279" xfId="7668"/>
    <cellStyle name="Normal 28" xfId="7669"/>
    <cellStyle name="Normal 28 10" xfId="7670"/>
    <cellStyle name="Normal 28 11" xfId="7671"/>
    <cellStyle name="Normal 28 12" xfId="7672"/>
    <cellStyle name="Normal 28 2" xfId="7673"/>
    <cellStyle name="Normal 28 2 10" xfId="7674"/>
    <cellStyle name="Normal 28 2 2" xfId="7675"/>
    <cellStyle name="Normal 28 2 2 2" xfId="7676"/>
    <cellStyle name="Normal 28 2 2 2 2" xfId="7677"/>
    <cellStyle name="Normal 28 2 2 2 2 2" xfId="7678"/>
    <cellStyle name="Normal 28 2 2 2 3" xfId="7679"/>
    <cellStyle name="Normal 28 2 2 2 3 2" xfId="7680"/>
    <cellStyle name="Normal 28 2 2 2 4" xfId="7681"/>
    <cellStyle name="Normal 28 2 2 3" xfId="7682"/>
    <cellStyle name="Normal 28 2 2 3 2" xfId="7683"/>
    <cellStyle name="Normal 28 2 2 3 2 2" xfId="7684"/>
    <cellStyle name="Normal 28 2 2 3 3" xfId="7685"/>
    <cellStyle name="Normal 28 2 2 3 3 2" xfId="7686"/>
    <cellStyle name="Normal 28 2 2 3 4" xfId="7687"/>
    <cellStyle name="Normal 28 2 2 4" xfId="7688"/>
    <cellStyle name="Normal 28 2 2 4 2" xfId="7689"/>
    <cellStyle name="Normal 28 2 2 4 2 2" xfId="7690"/>
    <cellStyle name="Normal 28 2 2 4 3" xfId="7691"/>
    <cellStyle name="Normal 28 2 2 4 3 2" xfId="7692"/>
    <cellStyle name="Normal 28 2 2 4 4" xfId="7693"/>
    <cellStyle name="Normal 28 2 2 5" xfId="7694"/>
    <cellStyle name="Normal 28 2 2 5 2" xfId="7695"/>
    <cellStyle name="Normal 28 2 2 6" xfId="7696"/>
    <cellStyle name="Normal 28 2 2 6 2" xfId="7697"/>
    <cellStyle name="Normal 28 2 2 7" xfId="7698"/>
    <cellStyle name="Normal 28 2 3" xfId="7699"/>
    <cellStyle name="Normal 28 2 3 2" xfId="7700"/>
    <cellStyle name="Normal 28 2 3 2 2" xfId="7701"/>
    <cellStyle name="Normal 28 2 3 3" xfId="7702"/>
    <cellStyle name="Normal 28 2 3 3 2" xfId="7703"/>
    <cellStyle name="Normal 28 2 3 4" xfId="7704"/>
    <cellStyle name="Normal 28 2 4" xfId="7705"/>
    <cellStyle name="Normal 28 2 4 2" xfId="7706"/>
    <cellStyle name="Normal 28 2 4 2 2" xfId="7707"/>
    <cellStyle name="Normal 28 2 4 3" xfId="7708"/>
    <cellStyle name="Normal 28 2 4 3 2" xfId="7709"/>
    <cellStyle name="Normal 28 2 4 4" xfId="7710"/>
    <cellStyle name="Normal 28 2 5" xfId="7711"/>
    <cellStyle name="Normal 28 2 5 2" xfId="7712"/>
    <cellStyle name="Normal 28 2 5 2 2" xfId="7713"/>
    <cellStyle name="Normal 28 2 5 3" xfId="7714"/>
    <cellStyle name="Normal 28 2 5 3 2" xfId="7715"/>
    <cellStyle name="Normal 28 2 5 4" xfId="7716"/>
    <cellStyle name="Normal 28 2 6" xfId="7717"/>
    <cellStyle name="Normal 28 2 6 2" xfId="7718"/>
    <cellStyle name="Normal 28 2 7" xfId="7719"/>
    <cellStyle name="Normal 28 2 7 2" xfId="7720"/>
    <cellStyle name="Normal 28 2 8" xfId="7721"/>
    <cellStyle name="Normal 28 2 8 2" xfId="7722"/>
    <cellStyle name="Normal 28 2 9" xfId="7723"/>
    <cellStyle name="Normal 28 3" xfId="7724"/>
    <cellStyle name="Normal 28 3 10" xfId="7725"/>
    <cellStyle name="Normal 28 3 2" xfId="7726"/>
    <cellStyle name="Normal 28 3 2 2" xfId="7727"/>
    <cellStyle name="Normal 28 3 2 2 2" xfId="7728"/>
    <cellStyle name="Normal 28 3 2 2 2 2" xfId="7729"/>
    <cellStyle name="Normal 28 3 2 2 3" xfId="7730"/>
    <cellStyle name="Normal 28 3 2 2 3 2" xfId="7731"/>
    <cellStyle name="Normal 28 3 2 2 4" xfId="7732"/>
    <cellStyle name="Normal 28 3 2 3" xfId="7733"/>
    <cellStyle name="Normal 28 3 2 3 2" xfId="7734"/>
    <cellStyle name="Normal 28 3 2 3 2 2" xfId="7735"/>
    <cellStyle name="Normal 28 3 2 3 3" xfId="7736"/>
    <cellStyle name="Normal 28 3 2 3 3 2" xfId="7737"/>
    <cellStyle name="Normal 28 3 2 3 4" xfId="7738"/>
    <cellStyle name="Normal 28 3 2 4" xfId="7739"/>
    <cellStyle name="Normal 28 3 2 4 2" xfId="7740"/>
    <cellStyle name="Normal 28 3 2 4 2 2" xfId="7741"/>
    <cellStyle name="Normal 28 3 2 4 3" xfId="7742"/>
    <cellStyle name="Normal 28 3 2 4 3 2" xfId="7743"/>
    <cellStyle name="Normal 28 3 2 4 4" xfId="7744"/>
    <cellStyle name="Normal 28 3 2 5" xfId="7745"/>
    <cellStyle name="Normal 28 3 2 5 2" xfId="7746"/>
    <cellStyle name="Normal 28 3 2 6" xfId="7747"/>
    <cellStyle name="Normal 28 3 2 6 2" xfId="7748"/>
    <cellStyle name="Normal 28 3 2 7" xfId="7749"/>
    <cellStyle name="Normal 28 3 3" xfId="7750"/>
    <cellStyle name="Normal 28 3 3 2" xfId="7751"/>
    <cellStyle name="Normal 28 3 3 2 2" xfId="7752"/>
    <cellStyle name="Normal 28 3 3 3" xfId="7753"/>
    <cellStyle name="Normal 28 3 3 3 2" xfId="7754"/>
    <cellStyle name="Normal 28 3 3 4" xfId="7755"/>
    <cellStyle name="Normal 28 3 4" xfId="7756"/>
    <cellStyle name="Normal 28 3 4 2" xfId="7757"/>
    <cellStyle name="Normal 28 3 4 2 2" xfId="7758"/>
    <cellStyle name="Normal 28 3 4 3" xfId="7759"/>
    <cellStyle name="Normal 28 3 4 3 2" xfId="7760"/>
    <cellStyle name="Normal 28 3 4 4" xfId="7761"/>
    <cellStyle name="Normal 28 3 5" xfId="7762"/>
    <cellStyle name="Normal 28 3 5 2" xfId="7763"/>
    <cellStyle name="Normal 28 3 5 2 2" xfId="7764"/>
    <cellStyle name="Normal 28 3 5 3" xfId="7765"/>
    <cellStyle name="Normal 28 3 5 3 2" xfId="7766"/>
    <cellStyle name="Normal 28 3 5 4" xfId="7767"/>
    <cellStyle name="Normal 28 3 6" xfId="7768"/>
    <cellStyle name="Normal 28 3 6 2" xfId="7769"/>
    <cellStyle name="Normal 28 3 7" xfId="7770"/>
    <cellStyle name="Normal 28 3 7 2" xfId="7771"/>
    <cellStyle name="Normal 28 3 8" xfId="7772"/>
    <cellStyle name="Normal 28 3 8 2" xfId="7773"/>
    <cellStyle name="Normal 28 3 9" xfId="7774"/>
    <cellStyle name="Normal 28 4" xfId="7775"/>
    <cellStyle name="Normal 28 4 2" xfId="7776"/>
    <cellStyle name="Normal 28 4 2 2" xfId="7777"/>
    <cellStyle name="Normal 28 4 2 2 2" xfId="7778"/>
    <cellStyle name="Normal 28 4 2 3" xfId="7779"/>
    <cellStyle name="Normal 28 4 2 3 2" xfId="7780"/>
    <cellStyle name="Normal 28 4 2 4" xfId="7781"/>
    <cellStyle name="Normal 28 4 3" xfId="7782"/>
    <cellStyle name="Normal 28 4 3 2" xfId="7783"/>
    <cellStyle name="Normal 28 4 3 2 2" xfId="7784"/>
    <cellStyle name="Normal 28 4 3 3" xfId="7785"/>
    <cellStyle name="Normal 28 4 3 3 2" xfId="7786"/>
    <cellStyle name="Normal 28 4 3 4" xfId="7787"/>
    <cellStyle name="Normal 28 4 4" xfId="7788"/>
    <cellStyle name="Normal 28 4 4 2" xfId="7789"/>
    <cellStyle name="Normal 28 4 4 2 2" xfId="7790"/>
    <cellStyle name="Normal 28 4 4 3" xfId="7791"/>
    <cellStyle name="Normal 28 4 4 3 2" xfId="7792"/>
    <cellStyle name="Normal 28 4 4 4" xfId="7793"/>
    <cellStyle name="Normal 28 4 5" xfId="7794"/>
    <cellStyle name="Normal 28 4 5 2" xfId="7795"/>
    <cellStyle name="Normal 28 4 6" xfId="7796"/>
    <cellStyle name="Normal 28 4 6 2" xfId="7797"/>
    <cellStyle name="Normal 28 4 7" xfId="7798"/>
    <cellStyle name="Normal 28 5" xfId="7799"/>
    <cellStyle name="Normal 28 5 2" xfId="7800"/>
    <cellStyle name="Normal 28 5 3" xfId="7801"/>
    <cellStyle name="Normal 28 5 3 2" xfId="7802"/>
    <cellStyle name="Normal 28 5 4" xfId="7803"/>
    <cellStyle name="Normal 28 5 4 2" xfId="7804"/>
    <cellStyle name="Normal 28 5 5" xfId="7805"/>
    <cellStyle name="Normal 28 6" xfId="7806"/>
    <cellStyle name="Normal 28 6 2" xfId="7807"/>
    <cellStyle name="Normal 28 6 2 2" xfId="7808"/>
    <cellStyle name="Normal 28 6 3" xfId="7809"/>
    <cellStyle name="Normal 28 6 3 2" xfId="7810"/>
    <cellStyle name="Normal 28 6 4" xfId="7811"/>
    <cellStyle name="Normal 28 7" xfId="7812"/>
    <cellStyle name="Normal 28 7 2" xfId="7813"/>
    <cellStyle name="Normal 28 7 2 2" xfId="7814"/>
    <cellStyle name="Normal 28 7 3" xfId="7815"/>
    <cellStyle name="Normal 28 7 3 2" xfId="7816"/>
    <cellStyle name="Normal 28 7 4" xfId="7817"/>
    <cellStyle name="Normal 28 8" xfId="7818"/>
    <cellStyle name="Normal 28 9" xfId="7819"/>
    <cellStyle name="Normal 28 9 2" xfId="7820"/>
    <cellStyle name="Normal 280" xfId="7821"/>
    <cellStyle name="Normal 281" xfId="7822"/>
    <cellStyle name="Normal 282" xfId="7823"/>
    <cellStyle name="Normal 283" xfId="7824"/>
    <cellStyle name="Normal 284" xfId="7825"/>
    <cellStyle name="Normal 285" xfId="7826"/>
    <cellStyle name="Normal 286" xfId="7827"/>
    <cellStyle name="Normal 287" xfId="7828"/>
    <cellStyle name="Normal 288" xfId="7829"/>
    <cellStyle name="Normal 289" xfId="7830"/>
    <cellStyle name="Normal 29" xfId="7831"/>
    <cellStyle name="Normal 29 10" xfId="7832"/>
    <cellStyle name="Normal 29 11" xfId="7833"/>
    <cellStyle name="Normal 29 12" xfId="7834"/>
    <cellStyle name="Normal 29 2" xfId="7835"/>
    <cellStyle name="Normal 29 2 10" xfId="7836"/>
    <cellStyle name="Normal 29 2 2" xfId="7837"/>
    <cellStyle name="Normal 29 2 2 2" xfId="7838"/>
    <cellStyle name="Normal 29 2 2 2 2" xfId="7839"/>
    <cellStyle name="Normal 29 2 2 2 2 2" xfId="7840"/>
    <cellStyle name="Normal 29 2 2 2 3" xfId="7841"/>
    <cellStyle name="Normal 29 2 2 2 3 2" xfId="7842"/>
    <cellStyle name="Normal 29 2 2 2 4" xfId="7843"/>
    <cellStyle name="Normal 29 2 2 3" xfId="7844"/>
    <cellStyle name="Normal 29 2 2 3 2" xfId="7845"/>
    <cellStyle name="Normal 29 2 2 3 2 2" xfId="7846"/>
    <cellStyle name="Normal 29 2 2 3 3" xfId="7847"/>
    <cellStyle name="Normal 29 2 2 3 3 2" xfId="7848"/>
    <cellStyle name="Normal 29 2 2 3 4" xfId="7849"/>
    <cellStyle name="Normal 29 2 2 4" xfId="7850"/>
    <cellStyle name="Normal 29 2 2 4 2" xfId="7851"/>
    <cellStyle name="Normal 29 2 2 4 2 2" xfId="7852"/>
    <cellStyle name="Normal 29 2 2 4 3" xfId="7853"/>
    <cellStyle name="Normal 29 2 2 4 3 2" xfId="7854"/>
    <cellStyle name="Normal 29 2 2 4 4" xfId="7855"/>
    <cellStyle name="Normal 29 2 2 5" xfId="7856"/>
    <cellStyle name="Normal 29 2 2 5 2" xfId="7857"/>
    <cellStyle name="Normal 29 2 2 6" xfId="7858"/>
    <cellStyle name="Normal 29 2 2 6 2" xfId="7859"/>
    <cellStyle name="Normal 29 2 2 7" xfId="7860"/>
    <cellStyle name="Normal 29 2 3" xfId="7861"/>
    <cellStyle name="Normal 29 2 3 2" xfId="7862"/>
    <cellStyle name="Normal 29 2 3 2 2" xfId="7863"/>
    <cellStyle name="Normal 29 2 3 3" xfId="7864"/>
    <cellStyle name="Normal 29 2 3 3 2" xfId="7865"/>
    <cellStyle name="Normal 29 2 3 4" xfId="7866"/>
    <cellStyle name="Normal 29 2 4" xfId="7867"/>
    <cellStyle name="Normal 29 2 4 2" xfId="7868"/>
    <cellStyle name="Normal 29 2 4 2 2" xfId="7869"/>
    <cellStyle name="Normal 29 2 4 3" xfId="7870"/>
    <cellStyle name="Normal 29 2 4 3 2" xfId="7871"/>
    <cellStyle name="Normal 29 2 4 4" xfId="7872"/>
    <cellStyle name="Normal 29 2 5" xfId="7873"/>
    <cellStyle name="Normal 29 2 5 2" xfId="7874"/>
    <cellStyle name="Normal 29 2 5 2 2" xfId="7875"/>
    <cellStyle name="Normal 29 2 5 3" xfId="7876"/>
    <cellStyle name="Normal 29 2 5 3 2" xfId="7877"/>
    <cellStyle name="Normal 29 2 5 4" xfId="7878"/>
    <cellStyle name="Normal 29 2 6" xfId="7879"/>
    <cellStyle name="Normal 29 2 6 2" xfId="7880"/>
    <cellStyle name="Normal 29 2 7" xfId="7881"/>
    <cellStyle name="Normal 29 2 7 2" xfId="7882"/>
    <cellStyle name="Normal 29 2 8" xfId="7883"/>
    <cellStyle name="Normal 29 2 8 2" xfId="7884"/>
    <cellStyle name="Normal 29 2 9" xfId="7885"/>
    <cellStyle name="Normal 29 3" xfId="7886"/>
    <cellStyle name="Normal 29 3 10" xfId="7887"/>
    <cellStyle name="Normal 29 3 2" xfId="7888"/>
    <cellStyle name="Normal 29 3 2 2" xfId="7889"/>
    <cellStyle name="Normal 29 3 2 2 2" xfId="7890"/>
    <cellStyle name="Normal 29 3 2 2 2 2" xfId="7891"/>
    <cellStyle name="Normal 29 3 2 2 3" xfId="7892"/>
    <cellStyle name="Normal 29 3 2 2 3 2" xfId="7893"/>
    <cellStyle name="Normal 29 3 2 2 4" xfId="7894"/>
    <cellStyle name="Normal 29 3 2 3" xfId="7895"/>
    <cellStyle name="Normal 29 3 2 3 2" xfId="7896"/>
    <cellStyle name="Normal 29 3 2 3 2 2" xfId="7897"/>
    <cellStyle name="Normal 29 3 2 3 3" xfId="7898"/>
    <cellStyle name="Normal 29 3 2 3 3 2" xfId="7899"/>
    <cellStyle name="Normal 29 3 2 3 4" xfId="7900"/>
    <cellStyle name="Normal 29 3 2 4" xfId="7901"/>
    <cellStyle name="Normal 29 3 2 4 2" xfId="7902"/>
    <cellStyle name="Normal 29 3 2 4 2 2" xfId="7903"/>
    <cellStyle name="Normal 29 3 2 4 3" xfId="7904"/>
    <cellStyle name="Normal 29 3 2 4 3 2" xfId="7905"/>
    <cellStyle name="Normal 29 3 2 4 4" xfId="7906"/>
    <cellStyle name="Normal 29 3 2 5" xfId="7907"/>
    <cellStyle name="Normal 29 3 2 5 2" xfId="7908"/>
    <cellStyle name="Normal 29 3 2 6" xfId="7909"/>
    <cellStyle name="Normal 29 3 2 6 2" xfId="7910"/>
    <cellStyle name="Normal 29 3 2 7" xfId="7911"/>
    <cellStyle name="Normal 29 3 3" xfId="7912"/>
    <cellStyle name="Normal 29 3 3 2" xfId="7913"/>
    <cellStyle name="Normal 29 3 3 2 2" xfId="7914"/>
    <cellStyle name="Normal 29 3 3 3" xfId="7915"/>
    <cellStyle name="Normal 29 3 3 3 2" xfId="7916"/>
    <cellStyle name="Normal 29 3 3 4" xfId="7917"/>
    <cellStyle name="Normal 29 3 4" xfId="7918"/>
    <cellStyle name="Normal 29 3 4 2" xfId="7919"/>
    <cellStyle name="Normal 29 3 4 2 2" xfId="7920"/>
    <cellStyle name="Normal 29 3 4 3" xfId="7921"/>
    <cellStyle name="Normal 29 3 4 3 2" xfId="7922"/>
    <cellStyle name="Normal 29 3 4 4" xfId="7923"/>
    <cellStyle name="Normal 29 3 5" xfId="7924"/>
    <cellStyle name="Normal 29 3 5 2" xfId="7925"/>
    <cellStyle name="Normal 29 3 5 2 2" xfId="7926"/>
    <cellStyle name="Normal 29 3 5 3" xfId="7927"/>
    <cellStyle name="Normal 29 3 5 3 2" xfId="7928"/>
    <cellStyle name="Normal 29 3 5 4" xfId="7929"/>
    <cellStyle name="Normal 29 3 6" xfId="7930"/>
    <cellStyle name="Normal 29 3 6 2" xfId="7931"/>
    <cellStyle name="Normal 29 3 7" xfId="7932"/>
    <cellStyle name="Normal 29 3 7 2" xfId="7933"/>
    <cellStyle name="Normal 29 3 8" xfId="7934"/>
    <cellStyle name="Normal 29 3 8 2" xfId="7935"/>
    <cellStyle name="Normal 29 3 9" xfId="7936"/>
    <cellStyle name="Normal 29 4" xfId="7937"/>
    <cellStyle name="Normal 29 4 2" xfId="7938"/>
    <cellStyle name="Normal 29 4 2 2" xfId="7939"/>
    <cellStyle name="Normal 29 4 2 2 2" xfId="7940"/>
    <cellStyle name="Normal 29 4 2 3" xfId="7941"/>
    <cellStyle name="Normal 29 4 2 3 2" xfId="7942"/>
    <cellStyle name="Normal 29 4 2 4" xfId="7943"/>
    <cellStyle name="Normal 29 4 3" xfId="7944"/>
    <cellStyle name="Normal 29 4 3 2" xfId="7945"/>
    <cellStyle name="Normal 29 4 3 2 2" xfId="7946"/>
    <cellStyle name="Normal 29 4 3 3" xfId="7947"/>
    <cellStyle name="Normal 29 4 3 3 2" xfId="7948"/>
    <cellStyle name="Normal 29 4 3 4" xfId="7949"/>
    <cellStyle name="Normal 29 4 4" xfId="7950"/>
    <cellStyle name="Normal 29 4 4 2" xfId="7951"/>
    <cellStyle name="Normal 29 4 4 2 2" xfId="7952"/>
    <cellStyle name="Normal 29 4 4 3" xfId="7953"/>
    <cellStyle name="Normal 29 4 4 3 2" xfId="7954"/>
    <cellStyle name="Normal 29 4 4 4" xfId="7955"/>
    <cellStyle name="Normal 29 4 5" xfId="7956"/>
    <cellStyle name="Normal 29 4 5 2" xfId="7957"/>
    <cellStyle name="Normal 29 4 6" xfId="7958"/>
    <cellStyle name="Normal 29 4 6 2" xfId="7959"/>
    <cellStyle name="Normal 29 4 7" xfId="7960"/>
    <cellStyle name="Normal 29 5" xfId="7961"/>
    <cellStyle name="Normal 29 5 2" xfId="7962"/>
    <cellStyle name="Normal 29 5 3" xfId="7963"/>
    <cellStyle name="Normal 29 5 3 2" xfId="7964"/>
    <cellStyle name="Normal 29 5 4" xfId="7965"/>
    <cellStyle name="Normal 29 5 4 2" xfId="7966"/>
    <cellStyle name="Normal 29 5 5" xfId="7967"/>
    <cellStyle name="Normal 29 6" xfId="7968"/>
    <cellStyle name="Normal 29 6 2" xfId="7969"/>
    <cellStyle name="Normal 29 6 2 2" xfId="7970"/>
    <cellStyle name="Normal 29 6 3" xfId="7971"/>
    <cellStyle name="Normal 29 6 3 2" xfId="7972"/>
    <cellStyle name="Normal 29 6 4" xfId="7973"/>
    <cellStyle name="Normal 29 7" xfId="7974"/>
    <cellStyle name="Normal 29 7 2" xfId="7975"/>
    <cellStyle name="Normal 29 7 2 2" xfId="7976"/>
    <cellStyle name="Normal 29 7 3" xfId="7977"/>
    <cellStyle name="Normal 29 7 3 2" xfId="7978"/>
    <cellStyle name="Normal 29 7 4" xfId="7979"/>
    <cellStyle name="Normal 29 8" xfId="7980"/>
    <cellStyle name="Normal 29 9" xfId="7981"/>
    <cellStyle name="Normal 29 9 2" xfId="7982"/>
    <cellStyle name="Normal 290" xfId="7983"/>
    <cellStyle name="Normal 291" xfId="7984"/>
    <cellStyle name="Normal 292" xfId="7985"/>
    <cellStyle name="Normal 293" xfId="7986"/>
    <cellStyle name="Normal 294" xfId="7987"/>
    <cellStyle name="Normal 295" xfId="7988"/>
    <cellStyle name="Normal 296" xfId="7989"/>
    <cellStyle name="Normal 297" xfId="7990"/>
    <cellStyle name="Normal 298" xfId="7991"/>
    <cellStyle name="Normal 299" xfId="7992"/>
    <cellStyle name="Normal 3" xfId="7993"/>
    <cellStyle name="Normal 3 10" xfId="7994"/>
    <cellStyle name="Normal 3 11" xfId="7995"/>
    <cellStyle name="Normal 3 12" xfId="7996"/>
    <cellStyle name="Normal 3 13" xfId="7997"/>
    <cellStyle name="Normal 3 14" xfId="7998"/>
    <cellStyle name="Normal 3 15" xfId="7999"/>
    <cellStyle name="Normal 3 16" xfId="8000"/>
    <cellStyle name="Normal 3 17" xfId="8001"/>
    <cellStyle name="Normal 3 18" xfId="8002"/>
    <cellStyle name="Normal 3 19" xfId="8003"/>
    <cellStyle name="Normal 3 2" xfId="8004"/>
    <cellStyle name="Normal 3 2 10" xfId="8005"/>
    <cellStyle name="Normal 3 2 11" xfId="8006"/>
    <cellStyle name="Normal 3 2 12" xfId="8007"/>
    <cellStyle name="Normal 3 2 13" xfId="8008"/>
    <cellStyle name="Normal 3 2 14" xfId="8009"/>
    <cellStyle name="Normal 3 2 15" xfId="8010"/>
    <cellStyle name="Normal 3 2 16" xfId="8011"/>
    <cellStyle name="Normal 3 2 17" xfId="8012"/>
    <cellStyle name="Normal 3 2 18" xfId="8013"/>
    <cellStyle name="Normal 3 2 19" xfId="8014"/>
    <cellStyle name="Normal 3 2 2" xfId="8015"/>
    <cellStyle name="Normal 3 2 2 10" xfId="8016"/>
    <cellStyle name="Normal 3 2 2 11" xfId="8017"/>
    <cellStyle name="Normal 3 2 2 12" xfId="8018"/>
    <cellStyle name="Normal 3 2 2 13" xfId="8019"/>
    <cellStyle name="Normal 3 2 2 14" xfId="8020"/>
    <cellStyle name="Normal 3 2 2 15" xfId="8021"/>
    <cellStyle name="Normal 3 2 2 16" xfId="8022"/>
    <cellStyle name="Normal 3 2 2 17" xfId="8023"/>
    <cellStyle name="Normal 3 2 2 18" xfId="8024"/>
    <cellStyle name="Normal 3 2 2 19" xfId="8025"/>
    <cellStyle name="Normal 3 2 2 2" xfId="8026"/>
    <cellStyle name="Normal 3 2 2 2 10" xfId="8027"/>
    <cellStyle name="Normal 3 2 2 2 11" xfId="8028"/>
    <cellStyle name="Normal 3 2 2 2 12" xfId="8029"/>
    <cellStyle name="Normal 3 2 2 2 13" xfId="8030"/>
    <cellStyle name="Normal 3 2 2 2 14" xfId="8031"/>
    <cellStyle name="Normal 3 2 2 2 15" xfId="8032"/>
    <cellStyle name="Normal 3 2 2 2 16" xfId="8033"/>
    <cellStyle name="Normal 3 2 2 2 17" xfId="8034"/>
    <cellStyle name="Normal 3 2 2 2 18" xfId="8035"/>
    <cellStyle name="Normal 3 2 2 2 19" xfId="8036"/>
    <cellStyle name="Normal 3 2 2 2 2" xfId="8037"/>
    <cellStyle name="Normal 3 2 2 2 2 2" xfId="8038"/>
    <cellStyle name="Normal 3 2 2 2 20" xfId="8039"/>
    <cellStyle name="Normal 3 2 2 2 21" xfId="8040"/>
    <cellStyle name="Normal 3 2 2 2 22" xfId="8041"/>
    <cellStyle name="Normal 3 2 2 2 23" xfId="8042"/>
    <cellStyle name="Normal 3 2 2 2 24" xfId="8043"/>
    <cellStyle name="Normal 3 2 2 2 25" xfId="8044"/>
    <cellStyle name="Normal 3 2 2 2 26" xfId="8045"/>
    <cellStyle name="Normal 3 2 2 2 27" xfId="8046"/>
    <cellStyle name="Normal 3 2 2 2 28" xfId="8047"/>
    <cellStyle name="Normal 3 2 2 2 29" xfId="8048"/>
    <cellStyle name="Normal 3 2 2 2 3" xfId="8049"/>
    <cellStyle name="Normal 3 2 2 2 30" xfId="8050"/>
    <cellStyle name="Normal 3 2 2 2 31" xfId="8051"/>
    <cellStyle name="Normal 3 2 2 2 4" xfId="8052"/>
    <cellStyle name="Normal 3 2 2 2 5" xfId="8053"/>
    <cellStyle name="Normal 3 2 2 2 6" xfId="8054"/>
    <cellStyle name="Normal 3 2 2 2 7" xfId="8055"/>
    <cellStyle name="Normal 3 2 2 2 8" xfId="8056"/>
    <cellStyle name="Normal 3 2 2 2 9" xfId="8057"/>
    <cellStyle name="Normal 3 2 2 20" xfId="8058"/>
    <cellStyle name="Normal 3 2 2 21" xfId="8059"/>
    <cellStyle name="Normal 3 2 2 22" xfId="8060"/>
    <cellStyle name="Normal 3 2 2 23" xfId="8061"/>
    <cellStyle name="Normal 3 2 2 24" xfId="8062"/>
    <cellStyle name="Normal 3 2 2 25" xfId="8063"/>
    <cellStyle name="Normal 3 2 2 26" xfId="8064"/>
    <cellStyle name="Normal 3 2 2 27" xfId="8065"/>
    <cellStyle name="Normal 3 2 2 28" xfId="8066"/>
    <cellStyle name="Normal 3 2 2 29" xfId="8067"/>
    <cellStyle name="Normal 3 2 2 3" xfId="8068"/>
    <cellStyle name="Normal 3 2 2 30" xfId="8069"/>
    <cellStyle name="Normal 3 2 2 31" xfId="8070"/>
    <cellStyle name="Normal 3 2 2 4" xfId="8071"/>
    <cellStyle name="Normal 3 2 2 5" xfId="8072"/>
    <cellStyle name="Normal 3 2 2 6" xfId="8073"/>
    <cellStyle name="Normal 3 2 2 7" xfId="8074"/>
    <cellStyle name="Normal 3 2 2 8" xfId="8075"/>
    <cellStyle name="Normal 3 2 2 9" xfId="8076"/>
    <cellStyle name="Normal 3 2 20" xfId="8077"/>
    <cellStyle name="Normal 3 2 21" xfId="8078"/>
    <cellStyle name="Normal 3 2 22" xfId="8079"/>
    <cellStyle name="Normal 3 2 23" xfId="8080"/>
    <cellStyle name="Normal 3 2 24" xfId="8081"/>
    <cellStyle name="Normal 3 2 25" xfId="8082"/>
    <cellStyle name="Normal 3 2 26" xfId="8083"/>
    <cellStyle name="Normal 3 2 27" xfId="8084"/>
    <cellStyle name="Normal 3 2 28" xfId="8085"/>
    <cellStyle name="Normal 3 2 29" xfId="8086"/>
    <cellStyle name="Normal 3 2 3" xfId="8087"/>
    <cellStyle name="Normal 3 2 30" xfId="8088"/>
    <cellStyle name="Normal 3 2 31" xfId="8089"/>
    <cellStyle name="Normal 3 2 32" xfId="8090"/>
    <cellStyle name="Normal 3 2 33" xfId="8091"/>
    <cellStyle name="Normal 3 2 34" xfId="8092"/>
    <cellStyle name="Normal 3 2 35" xfId="8093"/>
    <cellStyle name="Normal 3 2 4" xfId="8094"/>
    <cellStyle name="Normal 3 2 5" xfId="8095"/>
    <cellStyle name="Normal 3 2 6" xfId="8096"/>
    <cellStyle name="Normal 3 2 6 2" xfId="8097"/>
    <cellStyle name="Normal 3 2 7" xfId="8098"/>
    <cellStyle name="Normal 3 2 8" xfId="8099"/>
    <cellStyle name="Normal 3 2 9" xfId="8100"/>
    <cellStyle name="Normal 3 20" xfId="8101"/>
    <cellStyle name="Normal 3 21" xfId="8102"/>
    <cellStyle name="Normal 3 22" xfId="8103"/>
    <cellStyle name="Normal 3 23" xfId="8104"/>
    <cellStyle name="Normal 3 24" xfId="8105"/>
    <cellStyle name="Normal 3 25" xfId="8106"/>
    <cellStyle name="Normal 3 26" xfId="8107"/>
    <cellStyle name="Normal 3 27" xfId="8108"/>
    <cellStyle name="Normal 3 28" xfId="8109"/>
    <cellStyle name="Normal 3 29" xfId="8110"/>
    <cellStyle name="Normal 3 3" xfId="8111"/>
    <cellStyle name="Normal 3 3 2" xfId="8112"/>
    <cellStyle name="Normal 3 30" xfId="8113"/>
    <cellStyle name="Normal 3 31" xfId="8114"/>
    <cellStyle name="Normal 3 32" xfId="8115"/>
    <cellStyle name="Normal 3 33" xfId="8116"/>
    <cellStyle name="Normal 3 34" xfId="8117"/>
    <cellStyle name="Normal 3 35" xfId="8118"/>
    <cellStyle name="Normal 3 36" xfId="8119"/>
    <cellStyle name="Normal 3 37" xfId="8120"/>
    <cellStyle name="Normal 3 38" xfId="8121"/>
    <cellStyle name="Normal 3 39" xfId="8122"/>
    <cellStyle name="Normal 3 4" xfId="8123"/>
    <cellStyle name="Normal 3 40" xfId="8124"/>
    <cellStyle name="Normal 3 41" xfId="8125"/>
    <cellStyle name="Normal 3 42" xfId="8126"/>
    <cellStyle name="Normal 3 43" xfId="8127"/>
    <cellStyle name="Normal 3 44" xfId="8128"/>
    <cellStyle name="Normal 3 45" xfId="8129"/>
    <cellStyle name="Normal 3 45 10" xfId="8130"/>
    <cellStyle name="Normal 3 45 11" xfId="8131"/>
    <cellStyle name="Normal 3 45 12" xfId="8132"/>
    <cellStyle name="Normal 3 45 13" xfId="8133"/>
    <cellStyle name="Normal 3 45 14" xfId="8134"/>
    <cellStyle name="Normal 3 45 15" xfId="8135"/>
    <cellStyle name="Normal 3 45 16" xfId="8136"/>
    <cellStyle name="Normal 3 45 17" xfId="8137"/>
    <cellStyle name="Normal 3 45 18" xfId="8138"/>
    <cellStyle name="Normal 3 45 19" xfId="8139"/>
    <cellStyle name="Normal 3 45 2" xfId="8140"/>
    <cellStyle name="Normal 3 45 2 10" xfId="8141"/>
    <cellStyle name="Normal 3 45 2 11" xfId="8142"/>
    <cellStyle name="Normal 3 45 2 12" xfId="8143"/>
    <cellStyle name="Normal 3 45 2 13" xfId="8144"/>
    <cellStyle name="Normal 3 45 2 14" xfId="8145"/>
    <cellStyle name="Normal 3 45 2 15" xfId="8146"/>
    <cellStyle name="Normal 3 45 2 16" xfId="8147"/>
    <cellStyle name="Normal 3 45 2 17" xfId="8148"/>
    <cellStyle name="Normal 3 45 2 18" xfId="8149"/>
    <cellStyle name="Normal 3 45 2 19" xfId="8150"/>
    <cellStyle name="Normal 3 45 2 2" xfId="8151"/>
    <cellStyle name="Normal 3 45 2 20" xfId="8152"/>
    <cellStyle name="Normal 3 45 2 21" xfId="8153"/>
    <cellStyle name="Normal 3 45 2 22" xfId="8154"/>
    <cellStyle name="Normal 3 45 2 23" xfId="8155"/>
    <cellStyle name="Normal 3 45 2 3" xfId="8156"/>
    <cellStyle name="Normal 3 45 2 4" xfId="8157"/>
    <cellStyle name="Normal 3 45 2 5" xfId="8158"/>
    <cellStyle name="Normal 3 45 2 6" xfId="8159"/>
    <cellStyle name="Normal 3 45 2 7" xfId="8160"/>
    <cellStyle name="Normal 3 45 2 8" xfId="8161"/>
    <cellStyle name="Normal 3 45 2 9" xfId="8162"/>
    <cellStyle name="Normal 3 45 20" xfId="8163"/>
    <cellStyle name="Normal 3 45 21" xfId="8164"/>
    <cellStyle name="Normal 3 45 22" xfId="8165"/>
    <cellStyle name="Normal 3 45 3" xfId="8166"/>
    <cellStyle name="Normal 3 45 4" xfId="8167"/>
    <cellStyle name="Normal 3 45 5" xfId="8168"/>
    <cellStyle name="Normal 3 45 6" xfId="8169"/>
    <cellStyle name="Normal 3 45 7" xfId="8170"/>
    <cellStyle name="Normal 3 45 8" xfId="8171"/>
    <cellStyle name="Normal 3 45 9" xfId="8172"/>
    <cellStyle name="Normal 3 46" xfId="8173"/>
    <cellStyle name="Normal 3 47" xfId="8174"/>
    <cellStyle name="Normal 3 48" xfId="8175"/>
    <cellStyle name="Normal 3 49" xfId="8176"/>
    <cellStyle name="Normal 3 5" xfId="8177"/>
    <cellStyle name="Normal 3 50" xfId="8178"/>
    <cellStyle name="Normal 3 51" xfId="8179"/>
    <cellStyle name="Normal 3 51 10" xfId="8180"/>
    <cellStyle name="Normal 3 51 11" xfId="8181"/>
    <cellStyle name="Normal 3 51 12" xfId="8182"/>
    <cellStyle name="Normal 3 51 13" xfId="8183"/>
    <cellStyle name="Normal 3 51 14" xfId="8184"/>
    <cellStyle name="Normal 3 51 15" xfId="8185"/>
    <cellStyle name="Normal 3 51 16" xfId="8186"/>
    <cellStyle name="Normal 3 51 17" xfId="8187"/>
    <cellStyle name="Normal 3 51 18" xfId="8188"/>
    <cellStyle name="Normal 3 51 19" xfId="8189"/>
    <cellStyle name="Normal 3 51 2" xfId="8190"/>
    <cellStyle name="Normal 3 51 20" xfId="8191"/>
    <cellStyle name="Normal 3 51 21" xfId="8192"/>
    <cellStyle name="Normal 3 51 22" xfId="8193"/>
    <cellStyle name="Normal 3 51 23" xfId="8194"/>
    <cellStyle name="Normal 3 51 3" xfId="8195"/>
    <cellStyle name="Normal 3 51 4" xfId="8196"/>
    <cellStyle name="Normal 3 51 5" xfId="8197"/>
    <cellStyle name="Normal 3 51 6" xfId="8198"/>
    <cellStyle name="Normal 3 51 7" xfId="8199"/>
    <cellStyle name="Normal 3 51 8" xfId="8200"/>
    <cellStyle name="Normal 3 51 9" xfId="8201"/>
    <cellStyle name="Normal 3 52" xfId="8202"/>
    <cellStyle name="Normal 3 52 2" xfId="8203"/>
    <cellStyle name="Normal 3 53" xfId="8204"/>
    <cellStyle name="Normal 3 54" xfId="8205"/>
    <cellStyle name="Normal 3 55" xfId="8206"/>
    <cellStyle name="Normal 3 56" xfId="8207"/>
    <cellStyle name="Normal 3 57" xfId="8208"/>
    <cellStyle name="Normal 3 58" xfId="8209"/>
    <cellStyle name="Normal 3 59" xfId="8210"/>
    <cellStyle name="Normal 3 6" xfId="8211"/>
    <cellStyle name="Normal 3 60" xfId="8212"/>
    <cellStyle name="Normal 3 61" xfId="8213"/>
    <cellStyle name="Normal 3 62" xfId="8214"/>
    <cellStyle name="Normal 3 63" xfId="8215"/>
    <cellStyle name="Normal 3 64" xfId="8216"/>
    <cellStyle name="Normal 3 65" xfId="8217"/>
    <cellStyle name="Normal 3 66" xfId="8218"/>
    <cellStyle name="Normal 3 67" xfId="8219"/>
    <cellStyle name="Normal 3 68" xfId="8220"/>
    <cellStyle name="Normal 3 69" xfId="8221"/>
    <cellStyle name="Normal 3 7" xfId="8222"/>
    <cellStyle name="Normal 3 70" xfId="8223"/>
    <cellStyle name="Normal 3 70 2" xfId="8224"/>
    <cellStyle name="Normal 3 71" xfId="8225"/>
    <cellStyle name="Normal 3 72" xfId="8226"/>
    <cellStyle name="Normal 3 73" xfId="8227"/>
    <cellStyle name="Normal 3 74" xfId="8228"/>
    <cellStyle name="Normal 3 8" xfId="8229"/>
    <cellStyle name="Normal 3 9" xfId="8230"/>
    <cellStyle name="Normal 3 9 2" xfId="8231"/>
    <cellStyle name="Normal 3 9 2 2" xfId="8232"/>
    <cellStyle name="Normal 3 9 2 2 2" xfId="8233"/>
    <cellStyle name="Normal 3 9 2 3" xfId="8234"/>
    <cellStyle name="Normal 30" xfId="8235"/>
    <cellStyle name="Normal 30 10" xfId="8236"/>
    <cellStyle name="Normal 30 11" xfId="8237"/>
    <cellStyle name="Normal 30 12" xfId="8238"/>
    <cellStyle name="Normal 30 2" xfId="8239"/>
    <cellStyle name="Normal 30 2 10" xfId="8240"/>
    <cellStyle name="Normal 30 2 2" xfId="8241"/>
    <cellStyle name="Normal 30 2 2 2" xfId="8242"/>
    <cellStyle name="Normal 30 2 2 2 2" xfId="8243"/>
    <cellStyle name="Normal 30 2 2 2 2 2" xfId="8244"/>
    <cellStyle name="Normal 30 2 2 2 3" xfId="8245"/>
    <cellStyle name="Normal 30 2 2 2 3 2" xfId="8246"/>
    <cellStyle name="Normal 30 2 2 2 4" xfId="8247"/>
    <cellStyle name="Normal 30 2 2 3" xfId="8248"/>
    <cellStyle name="Normal 30 2 2 3 2" xfId="8249"/>
    <cellStyle name="Normal 30 2 2 3 2 2" xfId="8250"/>
    <cellStyle name="Normal 30 2 2 3 3" xfId="8251"/>
    <cellStyle name="Normal 30 2 2 3 3 2" xfId="8252"/>
    <cellStyle name="Normal 30 2 2 3 4" xfId="8253"/>
    <cellStyle name="Normal 30 2 2 4" xfId="8254"/>
    <cellStyle name="Normal 30 2 2 4 2" xfId="8255"/>
    <cellStyle name="Normal 30 2 2 4 2 2" xfId="8256"/>
    <cellStyle name="Normal 30 2 2 4 3" xfId="8257"/>
    <cellStyle name="Normal 30 2 2 4 3 2" xfId="8258"/>
    <cellStyle name="Normal 30 2 2 4 4" xfId="8259"/>
    <cellStyle name="Normal 30 2 2 5" xfId="8260"/>
    <cellStyle name="Normal 30 2 2 5 2" xfId="8261"/>
    <cellStyle name="Normal 30 2 2 6" xfId="8262"/>
    <cellStyle name="Normal 30 2 2 6 2" xfId="8263"/>
    <cellStyle name="Normal 30 2 2 7" xfId="8264"/>
    <cellStyle name="Normal 30 2 3" xfId="8265"/>
    <cellStyle name="Normal 30 2 3 2" xfId="8266"/>
    <cellStyle name="Normal 30 2 3 2 2" xfId="8267"/>
    <cellStyle name="Normal 30 2 3 3" xfId="8268"/>
    <cellStyle name="Normal 30 2 3 3 2" xfId="8269"/>
    <cellStyle name="Normal 30 2 3 4" xfId="8270"/>
    <cellStyle name="Normal 30 2 4" xfId="8271"/>
    <cellStyle name="Normal 30 2 4 2" xfId="8272"/>
    <cellStyle name="Normal 30 2 4 2 2" xfId="8273"/>
    <cellStyle name="Normal 30 2 4 3" xfId="8274"/>
    <cellStyle name="Normal 30 2 4 3 2" xfId="8275"/>
    <cellStyle name="Normal 30 2 4 4" xfId="8276"/>
    <cellStyle name="Normal 30 2 5" xfId="8277"/>
    <cellStyle name="Normal 30 2 5 2" xfId="8278"/>
    <cellStyle name="Normal 30 2 5 2 2" xfId="8279"/>
    <cellStyle name="Normal 30 2 5 3" xfId="8280"/>
    <cellStyle name="Normal 30 2 5 3 2" xfId="8281"/>
    <cellStyle name="Normal 30 2 5 4" xfId="8282"/>
    <cellStyle name="Normal 30 2 6" xfId="8283"/>
    <cellStyle name="Normal 30 2 6 2" xfId="8284"/>
    <cellStyle name="Normal 30 2 7" xfId="8285"/>
    <cellStyle name="Normal 30 2 7 2" xfId="8286"/>
    <cellStyle name="Normal 30 2 8" xfId="8287"/>
    <cellStyle name="Normal 30 2 8 2" xfId="8288"/>
    <cellStyle name="Normal 30 2 9" xfId="8289"/>
    <cellStyle name="Normal 30 3" xfId="8290"/>
    <cellStyle name="Normal 30 3 10" xfId="8291"/>
    <cellStyle name="Normal 30 3 2" xfId="8292"/>
    <cellStyle name="Normal 30 3 2 2" xfId="8293"/>
    <cellStyle name="Normal 30 3 2 2 2" xfId="8294"/>
    <cellStyle name="Normal 30 3 2 2 2 2" xfId="8295"/>
    <cellStyle name="Normal 30 3 2 2 3" xfId="8296"/>
    <cellStyle name="Normal 30 3 2 2 3 2" xfId="8297"/>
    <cellStyle name="Normal 30 3 2 2 4" xfId="8298"/>
    <cellStyle name="Normal 30 3 2 3" xfId="8299"/>
    <cellStyle name="Normal 30 3 2 3 2" xfId="8300"/>
    <cellStyle name="Normal 30 3 2 3 2 2" xfId="8301"/>
    <cellStyle name="Normal 30 3 2 3 3" xfId="8302"/>
    <cellStyle name="Normal 30 3 2 3 3 2" xfId="8303"/>
    <cellStyle name="Normal 30 3 2 3 4" xfId="8304"/>
    <cellStyle name="Normal 30 3 2 4" xfId="8305"/>
    <cellStyle name="Normal 30 3 2 4 2" xfId="8306"/>
    <cellStyle name="Normal 30 3 2 4 2 2" xfId="8307"/>
    <cellStyle name="Normal 30 3 2 4 3" xfId="8308"/>
    <cellStyle name="Normal 30 3 2 4 3 2" xfId="8309"/>
    <cellStyle name="Normal 30 3 2 4 4" xfId="8310"/>
    <cellStyle name="Normal 30 3 2 5" xfId="8311"/>
    <cellStyle name="Normal 30 3 2 5 2" xfId="8312"/>
    <cellStyle name="Normal 30 3 2 6" xfId="8313"/>
    <cellStyle name="Normal 30 3 2 6 2" xfId="8314"/>
    <cellStyle name="Normal 30 3 2 7" xfId="8315"/>
    <cellStyle name="Normal 30 3 3" xfId="8316"/>
    <cellStyle name="Normal 30 3 3 2" xfId="8317"/>
    <cellStyle name="Normal 30 3 3 2 2" xfId="8318"/>
    <cellStyle name="Normal 30 3 3 3" xfId="8319"/>
    <cellStyle name="Normal 30 3 3 3 2" xfId="8320"/>
    <cellStyle name="Normal 30 3 3 4" xfId="8321"/>
    <cellStyle name="Normal 30 3 4" xfId="8322"/>
    <cellStyle name="Normal 30 3 4 2" xfId="8323"/>
    <cellStyle name="Normal 30 3 4 2 2" xfId="8324"/>
    <cellStyle name="Normal 30 3 4 3" xfId="8325"/>
    <cellStyle name="Normal 30 3 4 3 2" xfId="8326"/>
    <cellStyle name="Normal 30 3 4 4" xfId="8327"/>
    <cellStyle name="Normal 30 3 5" xfId="8328"/>
    <cellStyle name="Normal 30 3 5 2" xfId="8329"/>
    <cellStyle name="Normal 30 3 5 2 2" xfId="8330"/>
    <cellStyle name="Normal 30 3 5 3" xfId="8331"/>
    <cellStyle name="Normal 30 3 5 3 2" xfId="8332"/>
    <cellStyle name="Normal 30 3 5 4" xfId="8333"/>
    <cellStyle name="Normal 30 3 6" xfId="8334"/>
    <cellStyle name="Normal 30 3 6 2" xfId="8335"/>
    <cellStyle name="Normal 30 3 7" xfId="8336"/>
    <cellStyle name="Normal 30 3 7 2" xfId="8337"/>
    <cellStyle name="Normal 30 3 8" xfId="8338"/>
    <cellStyle name="Normal 30 3 8 2" xfId="8339"/>
    <cellStyle name="Normal 30 3 9" xfId="8340"/>
    <cellStyle name="Normal 30 4" xfId="8341"/>
    <cellStyle name="Normal 30 4 2" xfId="8342"/>
    <cellStyle name="Normal 30 4 2 2" xfId="8343"/>
    <cellStyle name="Normal 30 4 2 2 2" xfId="8344"/>
    <cellStyle name="Normal 30 4 2 3" xfId="8345"/>
    <cellStyle name="Normal 30 4 2 3 2" xfId="8346"/>
    <cellStyle name="Normal 30 4 2 4" xfId="8347"/>
    <cellStyle name="Normal 30 4 3" xfId="8348"/>
    <cellStyle name="Normal 30 4 3 2" xfId="8349"/>
    <cellStyle name="Normal 30 4 3 2 2" xfId="8350"/>
    <cellStyle name="Normal 30 4 3 3" xfId="8351"/>
    <cellStyle name="Normal 30 4 3 3 2" xfId="8352"/>
    <cellStyle name="Normal 30 4 3 4" xfId="8353"/>
    <cellStyle name="Normal 30 4 4" xfId="8354"/>
    <cellStyle name="Normal 30 4 4 2" xfId="8355"/>
    <cellStyle name="Normal 30 4 4 2 2" xfId="8356"/>
    <cellStyle name="Normal 30 4 4 3" xfId="8357"/>
    <cellStyle name="Normal 30 4 4 3 2" xfId="8358"/>
    <cellStyle name="Normal 30 4 4 4" xfId="8359"/>
    <cellStyle name="Normal 30 4 5" xfId="8360"/>
    <cellStyle name="Normal 30 4 5 2" xfId="8361"/>
    <cellStyle name="Normal 30 4 6" xfId="8362"/>
    <cellStyle name="Normal 30 4 6 2" xfId="8363"/>
    <cellStyle name="Normal 30 4 7" xfId="8364"/>
    <cellStyle name="Normal 30 5" xfId="8365"/>
    <cellStyle name="Normal 30 5 2" xfId="8366"/>
    <cellStyle name="Normal 30 5 3" xfId="8367"/>
    <cellStyle name="Normal 30 5 3 2" xfId="8368"/>
    <cellStyle name="Normal 30 5 4" xfId="8369"/>
    <cellStyle name="Normal 30 5 4 2" xfId="8370"/>
    <cellStyle name="Normal 30 5 5" xfId="8371"/>
    <cellStyle name="Normal 30 6" xfId="8372"/>
    <cellStyle name="Normal 30 6 2" xfId="8373"/>
    <cellStyle name="Normal 30 6 2 2" xfId="8374"/>
    <cellStyle name="Normal 30 6 3" xfId="8375"/>
    <cellStyle name="Normal 30 6 3 2" xfId="8376"/>
    <cellStyle name="Normal 30 6 4" xfId="8377"/>
    <cellStyle name="Normal 30 7" xfId="8378"/>
    <cellStyle name="Normal 30 7 2" xfId="8379"/>
    <cellStyle name="Normal 30 7 2 2" xfId="8380"/>
    <cellStyle name="Normal 30 7 3" xfId="8381"/>
    <cellStyle name="Normal 30 7 3 2" xfId="8382"/>
    <cellStyle name="Normal 30 7 4" xfId="8383"/>
    <cellStyle name="Normal 30 8" xfId="8384"/>
    <cellStyle name="Normal 30 9" xfId="8385"/>
    <cellStyle name="Normal 30 9 2" xfId="8386"/>
    <cellStyle name="Normal 300" xfId="8387"/>
    <cellStyle name="Normal 301" xfId="8388"/>
    <cellStyle name="Normal 302" xfId="8389"/>
    <cellStyle name="Normal 303" xfId="8390"/>
    <cellStyle name="Normal 304" xfId="8391"/>
    <cellStyle name="Normal 305" xfId="8392"/>
    <cellStyle name="Normal 306" xfId="8393"/>
    <cellStyle name="Normal 307" xfId="8394"/>
    <cellStyle name="Normal 308" xfId="8395"/>
    <cellStyle name="Normal 309" xfId="8396"/>
    <cellStyle name="Normal 31" xfId="8397"/>
    <cellStyle name="Normal 31 10" xfId="8398"/>
    <cellStyle name="Normal 31 11" xfId="8399"/>
    <cellStyle name="Normal 31 11 2" xfId="8400"/>
    <cellStyle name="Normal 31 11 2 2" xfId="8401"/>
    <cellStyle name="Normal 31 11 3" xfId="8402"/>
    <cellStyle name="Normal 31 11 3 2" xfId="8403"/>
    <cellStyle name="Normal 31 11 4" xfId="8404"/>
    <cellStyle name="Normal 31 12" xfId="8405"/>
    <cellStyle name="Normal 31 13" xfId="8406"/>
    <cellStyle name="Normal 31 13 2" xfId="8407"/>
    <cellStyle name="Normal 31 14" xfId="8408"/>
    <cellStyle name="Normal 31 15" xfId="8409"/>
    <cellStyle name="Normal 31 2" xfId="8410"/>
    <cellStyle name="Normal 31 2 10" xfId="8411"/>
    <cellStyle name="Normal 31 2 2" xfId="8412"/>
    <cellStyle name="Normal 31 2 2 2" xfId="8413"/>
    <cellStyle name="Normal 31 2 2 2 2" xfId="8414"/>
    <cellStyle name="Normal 31 2 2 2 2 2" xfId="8415"/>
    <cellStyle name="Normal 31 2 2 2 3" xfId="8416"/>
    <cellStyle name="Normal 31 2 2 2 3 2" xfId="8417"/>
    <cellStyle name="Normal 31 2 2 2 4" xfId="8418"/>
    <cellStyle name="Normal 31 2 2 3" xfId="8419"/>
    <cellStyle name="Normal 31 2 2 3 2" xfId="8420"/>
    <cellStyle name="Normal 31 2 2 3 2 2" xfId="8421"/>
    <cellStyle name="Normal 31 2 2 3 3" xfId="8422"/>
    <cellStyle name="Normal 31 2 2 3 3 2" xfId="8423"/>
    <cellStyle name="Normal 31 2 2 3 4" xfId="8424"/>
    <cellStyle name="Normal 31 2 2 4" xfId="8425"/>
    <cellStyle name="Normal 31 2 2 4 2" xfId="8426"/>
    <cellStyle name="Normal 31 2 2 4 2 2" xfId="8427"/>
    <cellStyle name="Normal 31 2 2 4 3" xfId="8428"/>
    <cellStyle name="Normal 31 2 2 4 3 2" xfId="8429"/>
    <cellStyle name="Normal 31 2 2 4 4" xfId="8430"/>
    <cellStyle name="Normal 31 2 2 5" xfId="8431"/>
    <cellStyle name="Normal 31 2 2 5 2" xfId="8432"/>
    <cellStyle name="Normal 31 2 2 6" xfId="8433"/>
    <cellStyle name="Normal 31 2 2 6 2" xfId="8434"/>
    <cellStyle name="Normal 31 2 2 7" xfId="8435"/>
    <cellStyle name="Normal 31 2 3" xfId="8436"/>
    <cellStyle name="Normal 31 2 3 2" xfId="8437"/>
    <cellStyle name="Normal 31 2 3 3" xfId="8438"/>
    <cellStyle name="Normal 31 2 3 3 2" xfId="8439"/>
    <cellStyle name="Normal 31 2 3 4" xfId="8440"/>
    <cellStyle name="Normal 31 2 3 4 2" xfId="8441"/>
    <cellStyle name="Normal 31 2 3 5" xfId="8442"/>
    <cellStyle name="Normal 31 2 4" xfId="8443"/>
    <cellStyle name="Normal 31 2 4 2" xfId="8444"/>
    <cellStyle name="Normal 31 2 4 2 2" xfId="8445"/>
    <cellStyle name="Normal 31 2 4 3" xfId="8446"/>
    <cellStyle name="Normal 31 2 4 3 2" xfId="8447"/>
    <cellStyle name="Normal 31 2 4 4" xfId="8448"/>
    <cellStyle name="Normal 31 2 5" xfId="8449"/>
    <cellStyle name="Normal 31 2 5 2" xfId="8450"/>
    <cellStyle name="Normal 31 2 5 2 2" xfId="8451"/>
    <cellStyle name="Normal 31 2 5 3" xfId="8452"/>
    <cellStyle name="Normal 31 2 5 3 2" xfId="8453"/>
    <cellStyle name="Normal 31 2 5 4" xfId="8454"/>
    <cellStyle name="Normal 31 2 6" xfId="8455"/>
    <cellStyle name="Normal 31 2 6 2" xfId="8456"/>
    <cellStyle name="Normal 31 2 7" xfId="8457"/>
    <cellStyle name="Normal 31 2 7 2" xfId="8458"/>
    <cellStyle name="Normal 31 2 8" xfId="8459"/>
    <cellStyle name="Normal 31 2 8 2" xfId="8460"/>
    <cellStyle name="Normal 31 2 9" xfId="8461"/>
    <cellStyle name="Normal 31 3" xfId="8462"/>
    <cellStyle name="Normal 31 3 10" xfId="8463"/>
    <cellStyle name="Normal 31 3 2" xfId="8464"/>
    <cellStyle name="Normal 31 3 2 2" xfId="8465"/>
    <cellStyle name="Normal 31 3 2 2 2" xfId="8466"/>
    <cellStyle name="Normal 31 3 2 2 2 2" xfId="8467"/>
    <cellStyle name="Normal 31 3 2 2 3" xfId="8468"/>
    <cellStyle name="Normal 31 3 2 2 3 2" xfId="8469"/>
    <cellStyle name="Normal 31 3 2 2 4" xfId="8470"/>
    <cellStyle name="Normal 31 3 2 3" xfId="8471"/>
    <cellStyle name="Normal 31 3 2 3 2" xfId="8472"/>
    <cellStyle name="Normal 31 3 2 3 2 2" xfId="8473"/>
    <cellStyle name="Normal 31 3 2 3 3" xfId="8474"/>
    <cellStyle name="Normal 31 3 2 3 3 2" xfId="8475"/>
    <cellStyle name="Normal 31 3 2 3 4" xfId="8476"/>
    <cellStyle name="Normal 31 3 2 4" xfId="8477"/>
    <cellStyle name="Normal 31 3 2 4 2" xfId="8478"/>
    <cellStyle name="Normal 31 3 2 4 2 2" xfId="8479"/>
    <cellStyle name="Normal 31 3 2 4 3" xfId="8480"/>
    <cellStyle name="Normal 31 3 2 4 3 2" xfId="8481"/>
    <cellStyle name="Normal 31 3 2 4 4" xfId="8482"/>
    <cellStyle name="Normal 31 3 2 5" xfId="8483"/>
    <cellStyle name="Normal 31 3 2 5 2" xfId="8484"/>
    <cellStyle name="Normal 31 3 2 6" xfId="8485"/>
    <cellStyle name="Normal 31 3 2 6 2" xfId="8486"/>
    <cellStyle name="Normal 31 3 2 7" xfId="8487"/>
    <cellStyle name="Normal 31 3 3" xfId="8488"/>
    <cellStyle name="Normal 31 3 3 2" xfId="8489"/>
    <cellStyle name="Normal 31 3 3 3" xfId="8490"/>
    <cellStyle name="Normal 31 3 3 3 2" xfId="8491"/>
    <cellStyle name="Normal 31 3 3 4" xfId="8492"/>
    <cellStyle name="Normal 31 3 3 4 2" xfId="8493"/>
    <cellStyle name="Normal 31 3 3 5" xfId="8494"/>
    <cellStyle name="Normal 31 3 4" xfId="8495"/>
    <cellStyle name="Normal 31 3 4 2" xfId="8496"/>
    <cellStyle name="Normal 31 3 4 2 2" xfId="8497"/>
    <cellStyle name="Normal 31 3 4 3" xfId="8498"/>
    <cellStyle name="Normal 31 3 4 3 2" xfId="8499"/>
    <cellStyle name="Normal 31 3 4 4" xfId="8500"/>
    <cellStyle name="Normal 31 3 5" xfId="8501"/>
    <cellStyle name="Normal 31 3 5 2" xfId="8502"/>
    <cellStyle name="Normal 31 3 5 2 2" xfId="8503"/>
    <cellStyle name="Normal 31 3 5 3" xfId="8504"/>
    <cellStyle name="Normal 31 3 5 3 2" xfId="8505"/>
    <cellStyle name="Normal 31 3 5 4" xfId="8506"/>
    <cellStyle name="Normal 31 3 6" xfId="8507"/>
    <cellStyle name="Normal 31 3 6 2" xfId="8508"/>
    <cellStyle name="Normal 31 3 7" xfId="8509"/>
    <cellStyle name="Normal 31 3 7 2" xfId="8510"/>
    <cellStyle name="Normal 31 3 8" xfId="8511"/>
    <cellStyle name="Normal 31 3 8 2" xfId="8512"/>
    <cellStyle name="Normal 31 3 9" xfId="8513"/>
    <cellStyle name="Normal 31 4" xfId="8514"/>
    <cellStyle name="Normal 31 4 2" xfId="8515"/>
    <cellStyle name="Normal 31 4 2 2" xfId="8516"/>
    <cellStyle name="Normal 31 4 2 3" xfId="8517"/>
    <cellStyle name="Normal 31 4 2 3 2" xfId="8518"/>
    <cellStyle name="Normal 31 4 2 4" xfId="8519"/>
    <cellStyle name="Normal 31 4 2 4 2" xfId="8520"/>
    <cellStyle name="Normal 31 4 2 5" xfId="8521"/>
    <cellStyle name="Normal 31 4 3" xfId="8522"/>
    <cellStyle name="Normal 31 4 3 2" xfId="8523"/>
    <cellStyle name="Normal 31 4 3 2 2" xfId="8524"/>
    <cellStyle name="Normal 31 4 3 3" xfId="8525"/>
    <cellStyle name="Normal 31 4 3 3 2" xfId="8526"/>
    <cellStyle name="Normal 31 4 3 4" xfId="8527"/>
    <cellStyle name="Normal 31 4 4" xfId="8528"/>
    <cellStyle name="Normal 31 4 4 2" xfId="8529"/>
    <cellStyle name="Normal 31 4 4 2 2" xfId="8530"/>
    <cellStyle name="Normal 31 4 4 3" xfId="8531"/>
    <cellStyle name="Normal 31 4 4 3 2" xfId="8532"/>
    <cellStyle name="Normal 31 4 4 4" xfId="8533"/>
    <cellStyle name="Normal 31 4 5" xfId="8534"/>
    <cellStyle name="Normal 31 4 5 2" xfId="8535"/>
    <cellStyle name="Normal 31 4 6" xfId="8536"/>
    <cellStyle name="Normal 31 4 6 2" xfId="8537"/>
    <cellStyle name="Normal 31 4 7" xfId="8538"/>
    <cellStyle name="Normal 31 5" xfId="8539"/>
    <cellStyle name="Normal 31 5 2" xfId="8540"/>
    <cellStyle name="Normal 31 5 3" xfId="8541"/>
    <cellStyle name="Normal 31 5 3 2" xfId="8542"/>
    <cellStyle name="Normal 31 5 4" xfId="8543"/>
    <cellStyle name="Normal 31 5 4 2" xfId="8544"/>
    <cellStyle name="Normal 31 5 5" xfId="8545"/>
    <cellStyle name="Normal 31 6" xfId="8546"/>
    <cellStyle name="Normal 31 6 2" xfId="8547"/>
    <cellStyle name="Normal 31 6 3" xfId="8548"/>
    <cellStyle name="Normal 31 6 3 2" xfId="8549"/>
    <cellStyle name="Normal 31 6 4" xfId="8550"/>
    <cellStyle name="Normal 31 6 4 2" xfId="8551"/>
    <cellStyle name="Normal 31 6 5" xfId="8552"/>
    <cellStyle name="Normal 31 7" xfId="8553"/>
    <cellStyle name="Normal 31 8" xfId="8554"/>
    <cellStyle name="Normal 31 9" xfId="8555"/>
    <cellStyle name="Normal 310" xfId="8556"/>
    <cellStyle name="Normal 311" xfId="8557"/>
    <cellStyle name="Normal 312" xfId="8558"/>
    <cellStyle name="Normal 313" xfId="8559"/>
    <cellStyle name="Normal 314" xfId="8560"/>
    <cellStyle name="Normal 315" xfId="8561"/>
    <cellStyle name="Normal 316" xfId="8562"/>
    <cellStyle name="Normal 317" xfId="8563"/>
    <cellStyle name="Normal 318" xfId="8564"/>
    <cellStyle name="Normal 319" xfId="4"/>
    <cellStyle name="Normal 32" xfId="8565"/>
    <cellStyle name="Normal 32 10" xfId="8566"/>
    <cellStyle name="Normal 32 11" xfId="8567"/>
    <cellStyle name="Normal 32 11 2" xfId="8568"/>
    <cellStyle name="Normal 32 11 2 2" xfId="8569"/>
    <cellStyle name="Normal 32 11 3" xfId="8570"/>
    <cellStyle name="Normal 32 11 3 2" xfId="8571"/>
    <cellStyle name="Normal 32 11 4" xfId="8572"/>
    <cellStyle name="Normal 32 12" xfId="8573"/>
    <cellStyle name="Normal 32 13" xfId="8574"/>
    <cellStyle name="Normal 32 13 2" xfId="8575"/>
    <cellStyle name="Normal 32 14" xfId="8576"/>
    <cellStyle name="Normal 32 15" xfId="8577"/>
    <cellStyle name="Normal 32 16" xfId="8578"/>
    <cellStyle name="Normal 32 2" xfId="8579"/>
    <cellStyle name="Normal 32 2 10" xfId="8580"/>
    <cellStyle name="Normal 32 2 2" xfId="8581"/>
    <cellStyle name="Normal 32 2 2 2" xfId="8582"/>
    <cellStyle name="Normal 32 2 2 2 2" xfId="8583"/>
    <cellStyle name="Normal 32 2 2 2 2 2" xfId="8584"/>
    <cellStyle name="Normal 32 2 2 2 3" xfId="8585"/>
    <cellStyle name="Normal 32 2 2 2 3 2" xfId="8586"/>
    <cellStyle name="Normal 32 2 2 2 4" xfId="8587"/>
    <cellStyle name="Normal 32 2 2 3" xfId="8588"/>
    <cellStyle name="Normal 32 2 2 3 2" xfId="8589"/>
    <cellStyle name="Normal 32 2 2 3 2 2" xfId="8590"/>
    <cellStyle name="Normal 32 2 2 3 3" xfId="8591"/>
    <cellStyle name="Normal 32 2 2 3 3 2" xfId="8592"/>
    <cellStyle name="Normal 32 2 2 3 4" xfId="8593"/>
    <cellStyle name="Normal 32 2 2 4" xfId="8594"/>
    <cellStyle name="Normal 32 2 2 4 2" xfId="8595"/>
    <cellStyle name="Normal 32 2 2 4 2 2" xfId="8596"/>
    <cellStyle name="Normal 32 2 2 4 3" xfId="8597"/>
    <cellStyle name="Normal 32 2 2 4 3 2" xfId="8598"/>
    <cellStyle name="Normal 32 2 2 4 4" xfId="8599"/>
    <cellStyle name="Normal 32 2 2 5" xfId="8600"/>
    <cellStyle name="Normal 32 2 2 5 2" xfId="8601"/>
    <cellStyle name="Normal 32 2 2 6" xfId="8602"/>
    <cellStyle name="Normal 32 2 2 6 2" xfId="8603"/>
    <cellStyle name="Normal 32 2 2 7" xfId="8604"/>
    <cellStyle name="Normal 32 2 3" xfId="8605"/>
    <cellStyle name="Normal 32 2 3 2" xfId="8606"/>
    <cellStyle name="Normal 32 2 3 3" xfId="8607"/>
    <cellStyle name="Normal 32 2 3 3 2" xfId="8608"/>
    <cellStyle name="Normal 32 2 3 4" xfId="8609"/>
    <cellStyle name="Normal 32 2 3 4 2" xfId="8610"/>
    <cellStyle name="Normal 32 2 3 5" xfId="8611"/>
    <cellStyle name="Normal 32 2 4" xfId="8612"/>
    <cellStyle name="Normal 32 2 4 2" xfId="8613"/>
    <cellStyle name="Normal 32 2 4 2 2" xfId="8614"/>
    <cellStyle name="Normal 32 2 4 3" xfId="8615"/>
    <cellStyle name="Normal 32 2 4 3 2" xfId="8616"/>
    <cellStyle name="Normal 32 2 4 4" xfId="8617"/>
    <cellStyle name="Normal 32 2 5" xfId="8618"/>
    <cellStyle name="Normal 32 2 5 2" xfId="8619"/>
    <cellStyle name="Normal 32 2 5 2 2" xfId="8620"/>
    <cellStyle name="Normal 32 2 5 3" xfId="8621"/>
    <cellStyle name="Normal 32 2 5 3 2" xfId="8622"/>
    <cellStyle name="Normal 32 2 5 4" xfId="8623"/>
    <cellStyle name="Normal 32 2 6" xfId="8624"/>
    <cellStyle name="Normal 32 2 6 2" xfId="8625"/>
    <cellStyle name="Normal 32 2 7" xfId="8626"/>
    <cellStyle name="Normal 32 2 7 2" xfId="8627"/>
    <cellStyle name="Normal 32 2 8" xfId="8628"/>
    <cellStyle name="Normal 32 2 8 2" xfId="8629"/>
    <cellStyle name="Normal 32 2 9" xfId="8630"/>
    <cellStyle name="Normal 32 3" xfId="8631"/>
    <cellStyle name="Normal 32 3 10" xfId="8632"/>
    <cellStyle name="Normal 32 3 2" xfId="8633"/>
    <cellStyle name="Normal 32 3 2 2" xfId="8634"/>
    <cellStyle name="Normal 32 3 2 2 2" xfId="8635"/>
    <cellStyle name="Normal 32 3 2 2 2 2" xfId="8636"/>
    <cellStyle name="Normal 32 3 2 2 3" xfId="8637"/>
    <cellStyle name="Normal 32 3 2 2 3 2" xfId="8638"/>
    <cellStyle name="Normal 32 3 2 2 4" xfId="8639"/>
    <cellStyle name="Normal 32 3 2 3" xfId="8640"/>
    <cellStyle name="Normal 32 3 2 3 2" xfId="8641"/>
    <cellStyle name="Normal 32 3 2 3 2 2" xfId="8642"/>
    <cellStyle name="Normal 32 3 2 3 3" xfId="8643"/>
    <cellStyle name="Normal 32 3 2 3 3 2" xfId="8644"/>
    <cellStyle name="Normal 32 3 2 3 4" xfId="8645"/>
    <cellStyle name="Normal 32 3 2 4" xfId="8646"/>
    <cellStyle name="Normal 32 3 2 4 2" xfId="8647"/>
    <cellStyle name="Normal 32 3 2 4 2 2" xfId="8648"/>
    <cellStyle name="Normal 32 3 2 4 3" xfId="8649"/>
    <cellStyle name="Normal 32 3 2 4 3 2" xfId="8650"/>
    <cellStyle name="Normal 32 3 2 4 4" xfId="8651"/>
    <cellStyle name="Normal 32 3 2 5" xfId="8652"/>
    <cellStyle name="Normal 32 3 2 5 2" xfId="8653"/>
    <cellStyle name="Normal 32 3 2 6" xfId="8654"/>
    <cellStyle name="Normal 32 3 2 6 2" xfId="8655"/>
    <cellStyle name="Normal 32 3 2 7" xfId="8656"/>
    <cellStyle name="Normal 32 3 3" xfId="8657"/>
    <cellStyle name="Normal 32 3 3 2" xfId="8658"/>
    <cellStyle name="Normal 32 3 3 3" xfId="8659"/>
    <cellStyle name="Normal 32 3 3 3 2" xfId="8660"/>
    <cellStyle name="Normal 32 3 3 4" xfId="8661"/>
    <cellStyle name="Normal 32 3 3 4 2" xfId="8662"/>
    <cellStyle name="Normal 32 3 3 5" xfId="8663"/>
    <cellStyle name="Normal 32 3 4" xfId="8664"/>
    <cellStyle name="Normal 32 3 4 2" xfId="8665"/>
    <cellStyle name="Normal 32 3 4 2 2" xfId="8666"/>
    <cellStyle name="Normal 32 3 4 3" xfId="8667"/>
    <cellStyle name="Normal 32 3 4 3 2" xfId="8668"/>
    <cellStyle name="Normal 32 3 4 4" xfId="8669"/>
    <cellStyle name="Normal 32 3 5" xfId="8670"/>
    <cellStyle name="Normal 32 3 5 2" xfId="8671"/>
    <cellStyle name="Normal 32 3 5 2 2" xfId="8672"/>
    <cellStyle name="Normal 32 3 5 3" xfId="8673"/>
    <cellStyle name="Normal 32 3 5 3 2" xfId="8674"/>
    <cellStyle name="Normal 32 3 5 4" xfId="8675"/>
    <cellStyle name="Normal 32 3 6" xfId="8676"/>
    <cellStyle name="Normal 32 3 6 2" xfId="8677"/>
    <cellStyle name="Normal 32 3 7" xfId="8678"/>
    <cellStyle name="Normal 32 3 7 2" xfId="8679"/>
    <cellStyle name="Normal 32 3 8" xfId="8680"/>
    <cellStyle name="Normal 32 3 8 2" xfId="8681"/>
    <cellStyle name="Normal 32 3 9" xfId="8682"/>
    <cellStyle name="Normal 32 4" xfId="8683"/>
    <cellStyle name="Normal 32 4 2" xfId="8684"/>
    <cellStyle name="Normal 32 4 2 2" xfId="8685"/>
    <cellStyle name="Normal 32 4 2 3" xfId="8686"/>
    <cellStyle name="Normal 32 4 2 3 2" xfId="8687"/>
    <cellStyle name="Normal 32 4 2 4" xfId="8688"/>
    <cellStyle name="Normal 32 4 2 4 2" xfId="8689"/>
    <cellStyle name="Normal 32 4 2 5" xfId="8690"/>
    <cellStyle name="Normal 32 4 3" xfId="8691"/>
    <cellStyle name="Normal 32 4 3 2" xfId="8692"/>
    <cellStyle name="Normal 32 4 3 2 2" xfId="8693"/>
    <cellStyle name="Normal 32 4 3 3" xfId="8694"/>
    <cellStyle name="Normal 32 4 3 3 2" xfId="8695"/>
    <cellStyle name="Normal 32 4 3 4" xfId="8696"/>
    <cellStyle name="Normal 32 4 4" xfId="8697"/>
    <cellStyle name="Normal 32 4 4 2" xfId="8698"/>
    <cellStyle name="Normal 32 4 4 2 2" xfId="8699"/>
    <cellStyle name="Normal 32 4 4 3" xfId="8700"/>
    <cellStyle name="Normal 32 4 4 3 2" xfId="8701"/>
    <cellStyle name="Normal 32 4 4 4" xfId="8702"/>
    <cellStyle name="Normal 32 4 5" xfId="8703"/>
    <cellStyle name="Normal 32 4 5 2" xfId="8704"/>
    <cellStyle name="Normal 32 4 6" xfId="8705"/>
    <cellStyle name="Normal 32 4 6 2" xfId="8706"/>
    <cellStyle name="Normal 32 4 7" xfId="8707"/>
    <cellStyle name="Normal 32 5" xfId="8708"/>
    <cellStyle name="Normal 32 5 2" xfId="8709"/>
    <cellStyle name="Normal 32 5 3" xfId="8710"/>
    <cellStyle name="Normal 32 5 3 2" xfId="8711"/>
    <cellStyle name="Normal 32 5 4" xfId="8712"/>
    <cellStyle name="Normal 32 5 4 2" xfId="8713"/>
    <cellStyle name="Normal 32 5 5" xfId="8714"/>
    <cellStyle name="Normal 32 6" xfId="8715"/>
    <cellStyle name="Normal 32 6 2" xfId="8716"/>
    <cellStyle name="Normal 32 6 3" xfId="8717"/>
    <cellStyle name="Normal 32 6 3 2" xfId="8718"/>
    <cellStyle name="Normal 32 6 4" xfId="8719"/>
    <cellStyle name="Normal 32 6 4 2" xfId="8720"/>
    <cellStyle name="Normal 32 6 5" xfId="8721"/>
    <cellStyle name="Normal 32 7" xfId="8722"/>
    <cellStyle name="Normal 32 8" xfId="8723"/>
    <cellStyle name="Normal 32 9" xfId="8724"/>
    <cellStyle name="Normal 33" xfId="8725"/>
    <cellStyle name="Normal 33 10" xfId="8726"/>
    <cellStyle name="Normal 33 11" xfId="8727"/>
    <cellStyle name="Normal 33 11 2" xfId="8728"/>
    <cellStyle name="Normal 33 11 2 2" xfId="8729"/>
    <cellStyle name="Normal 33 11 3" xfId="8730"/>
    <cellStyle name="Normal 33 11 3 2" xfId="8731"/>
    <cellStyle name="Normal 33 11 4" xfId="8732"/>
    <cellStyle name="Normal 33 12" xfId="8733"/>
    <cellStyle name="Normal 33 13" xfId="8734"/>
    <cellStyle name="Normal 33 13 2" xfId="8735"/>
    <cellStyle name="Normal 33 14" xfId="8736"/>
    <cellStyle name="Normal 33 15" xfId="8737"/>
    <cellStyle name="Normal 33 2" xfId="8738"/>
    <cellStyle name="Normal 33 2 10" xfId="8739"/>
    <cellStyle name="Normal 33 2 2" xfId="8740"/>
    <cellStyle name="Normal 33 2 2 2" xfId="8741"/>
    <cellStyle name="Normal 33 2 2 2 2" xfId="8742"/>
    <cellStyle name="Normal 33 2 2 2 2 2" xfId="8743"/>
    <cellStyle name="Normal 33 2 2 2 3" xfId="8744"/>
    <cellStyle name="Normal 33 2 2 2 3 2" xfId="8745"/>
    <cellStyle name="Normal 33 2 2 2 4" xfId="8746"/>
    <cellStyle name="Normal 33 2 2 3" xfId="8747"/>
    <cellStyle name="Normal 33 2 2 3 2" xfId="8748"/>
    <cellStyle name="Normal 33 2 2 3 2 2" xfId="8749"/>
    <cellStyle name="Normal 33 2 2 3 3" xfId="8750"/>
    <cellStyle name="Normal 33 2 2 3 3 2" xfId="8751"/>
    <cellStyle name="Normal 33 2 2 3 4" xfId="8752"/>
    <cellStyle name="Normal 33 2 2 4" xfId="8753"/>
    <cellStyle name="Normal 33 2 2 4 2" xfId="8754"/>
    <cellStyle name="Normal 33 2 2 4 2 2" xfId="8755"/>
    <cellStyle name="Normal 33 2 2 4 3" xfId="8756"/>
    <cellStyle name="Normal 33 2 2 4 3 2" xfId="8757"/>
    <cellStyle name="Normal 33 2 2 4 4" xfId="8758"/>
    <cellStyle name="Normal 33 2 2 5" xfId="8759"/>
    <cellStyle name="Normal 33 2 2 5 2" xfId="8760"/>
    <cellStyle name="Normal 33 2 2 6" xfId="8761"/>
    <cellStyle name="Normal 33 2 2 6 2" xfId="8762"/>
    <cellStyle name="Normal 33 2 2 7" xfId="8763"/>
    <cellStyle name="Normal 33 2 3" xfId="8764"/>
    <cellStyle name="Normal 33 2 3 2" xfId="8765"/>
    <cellStyle name="Normal 33 2 3 3" xfId="8766"/>
    <cellStyle name="Normal 33 2 3 3 2" xfId="8767"/>
    <cellStyle name="Normal 33 2 3 4" xfId="8768"/>
    <cellStyle name="Normal 33 2 3 4 2" xfId="8769"/>
    <cellStyle name="Normal 33 2 3 5" xfId="8770"/>
    <cellStyle name="Normal 33 2 4" xfId="8771"/>
    <cellStyle name="Normal 33 2 4 2" xfId="8772"/>
    <cellStyle name="Normal 33 2 4 2 2" xfId="8773"/>
    <cellStyle name="Normal 33 2 4 3" xfId="8774"/>
    <cellStyle name="Normal 33 2 4 3 2" xfId="8775"/>
    <cellStyle name="Normal 33 2 4 4" xfId="8776"/>
    <cellStyle name="Normal 33 2 5" xfId="8777"/>
    <cellStyle name="Normal 33 2 5 2" xfId="8778"/>
    <cellStyle name="Normal 33 2 5 2 2" xfId="8779"/>
    <cellStyle name="Normal 33 2 5 3" xfId="8780"/>
    <cellStyle name="Normal 33 2 5 3 2" xfId="8781"/>
    <cellStyle name="Normal 33 2 5 4" xfId="8782"/>
    <cellStyle name="Normal 33 2 6" xfId="8783"/>
    <cellStyle name="Normal 33 2 6 2" xfId="8784"/>
    <cellStyle name="Normal 33 2 7" xfId="8785"/>
    <cellStyle name="Normal 33 2 7 2" xfId="8786"/>
    <cellStyle name="Normal 33 2 8" xfId="8787"/>
    <cellStyle name="Normal 33 2 8 2" xfId="8788"/>
    <cellStyle name="Normal 33 2 9" xfId="8789"/>
    <cellStyle name="Normal 33 3" xfId="8790"/>
    <cellStyle name="Normal 33 3 10" xfId="8791"/>
    <cellStyle name="Normal 33 3 2" xfId="8792"/>
    <cellStyle name="Normal 33 3 2 2" xfId="8793"/>
    <cellStyle name="Normal 33 3 2 2 2" xfId="8794"/>
    <cellStyle name="Normal 33 3 2 2 2 2" xfId="8795"/>
    <cellStyle name="Normal 33 3 2 2 3" xfId="8796"/>
    <cellStyle name="Normal 33 3 2 2 3 2" xfId="8797"/>
    <cellStyle name="Normal 33 3 2 2 4" xfId="8798"/>
    <cellStyle name="Normal 33 3 2 3" xfId="8799"/>
    <cellStyle name="Normal 33 3 2 3 2" xfId="8800"/>
    <cellStyle name="Normal 33 3 2 3 2 2" xfId="8801"/>
    <cellStyle name="Normal 33 3 2 3 3" xfId="8802"/>
    <cellStyle name="Normal 33 3 2 3 3 2" xfId="8803"/>
    <cellStyle name="Normal 33 3 2 3 4" xfId="8804"/>
    <cellStyle name="Normal 33 3 2 4" xfId="8805"/>
    <cellStyle name="Normal 33 3 2 4 2" xfId="8806"/>
    <cellStyle name="Normal 33 3 2 4 2 2" xfId="8807"/>
    <cellStyle name="Normal 33 3 2 4 3" xfId="8808"/>
    <cellStyle name="Normal 33 3 2 4 3 2" xfId="8809"/>
    <cellStyle name="Normal 33 3 2 4 4" xfId="8810"/>
    <cellStyle name="Normal 33 3 2 5" xfId="8811"/>
    <cellStyle name="Normal 33 3 2 5 2" xfId="8812"/>
    <cellStyle name="Normal 33 3 2 6" xfId="8813"/>
    <cellStyle name="Normal 33 3 2 6 2" xfId="8814"/>
    <cellStyle name="Normal 33 3 2 7" xfId="8815"/>
    <cellStyle name="Normal 33 3 3" xfId="8816"/>
    <cellStyle name="Normal 33 3 3 2" xfId="8817"/>
    <cellStyle name="Normal 33 3 3 3" xfId="8818"/>
    <cellStyle name="Normal 33 3 3 3 2" xfId="8819"/>
    <cellStyle name="Normal 33 3 3 4" xfId="8820"/>
    <cellStyle name="Normal 33 3 3 4 2" xfId="8821"/>
    <cellStyle name="Normal 33 3 3 5" xfId="8822"/>
    <cellStyle name="Normal 33 3 4" xfId="8823"/>
    <cellStyle name="Normal 33 3 4 2" xfId="8824"/>
    <cellStyle name="Normal 33 3 4 2 2" xfId="8825"/>
    <cellStyle name="Normal 33 3 4 3" xfId="8826"/>
    <cellStyle name="Normal 33 3 4 3 2" xfId="8827"/>
    <cellStyle name="Normal 33 3 4 4" xfId="8828"/>
    <cellStyle name="Normal 33 3 5" xfId="8829"/>
    <cellStyle name="Normal 33 3 5 2" xfId="8830"/>
    <cellStyle name="Normal 33 3 5 2 2" xfId="8831"/>
    <cellStyle name="Normal 33 3 5 3" xfId="8832"/>
    <cellStyle name="Normal 33 3 5 3 2" xfId="8833"/>
    <cellStyle name="Normal 33 3 5 4" xfId="8834"/>
    <cellStyle name="Normal 33 3 6" xfId="8835"/>
    <cellStyle name="Normal 33 3 6 2" xfId="8836"/>
    <cellStyle name="Normal 33 3 7" xfId="8837"/>
    <cellStyle name="Normal 33 3 7 2" xfId="8838"/>
    <cellStyle name="Normal 33 3 8" xfId="8839"/>
    <cellStyle name="Normal 33 3 8 2" xfId="8840"/>
    <cellStyle name="Normal 33 3 9" xfId="8841"/>
    <cellStyle name="Normal 33 4" xfId="8842"/>
    <cellStyle name="Normal 33 4 2" xfId="8843"/>
    <cellStyle name="Normal 33 4 2 2" xfId="8844"/>
    <cellStyle name="Normal 33 4 2 3" xfId="8845"/>
    <cellStyle name="Normal 33 4 2 3 2" xfId="8846"/>
    <cellStyle name="Normal 33 4 2 4" xfId="8847"/>
    <cellStyle name="Normal 33 4 2 4 2" xfId="8848"/>
    <cellStyle name="Normal 33 4 2 5" xfId="8849"/>
    <cellStyle name="Normal 33 4 3" xfId="8850"/>
    <cellStyle name="Normal 33 4 3 2" xfId="8851"/>
    <cellStyle name="Normal 33 4 3 2 2" xfId="8852"/>
    <cellStyle name="Normal 33 4 3 3" xfId="8853"/>
    <cellStyle name="Normal 33 4 3 3 2" xfId="8854"/>
    <cellStyle name="Normal 33 4 3 4" xfId="8855"/>
    <cellStyle name="Normal 33 4 4" xfId="8856"/>
    <cellStyle name="Normal 33 4 4 2" xfId="8857"/>
    <cellStyle name="Normal 33 4 4 2 2" xfId="8858"/>
    <cellStyle name="Normal 33 4 4 3" xfId="8859"/>
    <cellStyle name="Normal 33 4 4 3 2" xfId="8860"/>
    <cellStyle name="Normal 33 4 4 4" xfId="8861"/>
    <cellStyle name="Normal 33 4 5" xfId="8862"/>
    <cellStyle name="Normal 33 4 5 2" xfId="8863"/>
    <cellStyle name="Normal 33 4 6" xfId="8864"/>
    <cellStyle name="Normal 33 4 6 2" xfId="8865"/>
    <cellStyle name="Normal 33 4 7" xfId="8866"/>
    <cellStyle name="Normal 33 5" xfId="8867"/>
    <cellStyle name="Normal 33 5 2" xfId="8868"/>
    <cellStyle name="Normal 33 5 3" xfId="8869"/>
    <cellStyle name="Normal 33 5 3 2" xfId="8870"/>
    <cellStyle name="Normal 33 5 4" xfId="8871"/>
    <cellStyle name="Normal 33 5 4 2" xfId="8872"/>
    <cellStyle name="Normal 33 5 5" xfId="8873"/>
    <cellStyle name="Normal 33 6" xfId="8874"/>
    <cellStyle name="Normal 33 6 2" xfId="8875"/>
    <cellStyle name="Normal 33 6 3" xfId="8876"/>
    <cellStyle name="Normal 33 6 3 2" xfId="8877"/>
    <cellStyle name="Normal 33 6 4" xfId="8878"/>
    <cellStyle name="Normal 33 6 4 2" xfId="8879"/>
    <cellStyle name="Normal 33 6 5" xfId="8880"/>
    <cellStyle name="Normal 33 7" xfId="8881"/>
    <cellStyle name="Normal 33 8" xfId="8882"/>
    <cellStyle name="Normal 33 9" xfId="8883"/>
    <cellStyle name="Normal 34" xfId="8884"/>
    <cellStyle name="Normal 34 10" xfId="8885"/>
    <cellStyle name="Normal 34 11" xfId="8886"/>
    <cellStyle name="Normal 34 2" xfId="8887"/>
    <cellStyle name="Normal 34 2 10" xfId="8888"/>
    <cellStyle name="Normal 34 2 2" xfId="8889"/>
    <cellStyle name="Normal 34 2 2 2" xfId="8890"/>
    <cellStyle name="Normal 34 2 2 2 2" xfId="8891"/>
    <cellStyle name="Normal 34 2 2 2 2 2" xfId="8892"/>
    <cellStyle name="Normal 34 2 2 2 3" xfId="8893"/>
    <cellStyle name="Normal 34 2 2 2 3 2" xfId="8894"/>
    <cellStyle name="Normal 34 2 2 2 4" xfId="8895"/>
    <cellStyle name="Normal 34 2 2 3" xfId="8896"/>
    <cellStyle name="Normal 34 2 2 3 2" xfId="8897"/>
    <cellStyle name="Normal 34 2 2 3 2 2" xfId="8898"/>
    <cellStyle name="Normal 34 2 2 3 3" xfId="8899"/>
    <cellStyle name="Normal 34 2 2 3 3 2" xfId="8900"/>
    <cellStyle name="Normal 34 2 2 3 4" xfId="8901"/>
    <cellStyle name="Normal 34 2 2 4" xfId="8902"/>
    <cellStyle name="Normal 34 2 2 4 2" xfId="8903"/>
    <cellStyle name="Normal 34 2 2 4 2 2" xfId="8904"/>
    <cellStyle name="Normal 34 2 2 4 3" xfId="8905"/>
    <cellStyle name="Normal 34 2 2 4 3 2" xfId="8906"/>
    <cellStyle name="Normal 34 2 2 4 4" xfId="8907"/>
    <cellStyle name="Normal 34 2 2 5" xfId="8908"/>
    <cellStyle name="Normal 34 2 2 5 2" xfId="8909"/>
    <cellStyle name="Normal 34 2 2 6" xfId="8910"/>
    <cellStyle name="Normal 34 2 2 6 2" xfId="8911"/>
    <cellStyle name="Normal 34 2 2 7" xfId="8912"/>
    <cellStyle name="Normal 34 2 3" xfId="8913"/>
    <cellStyle name="Normal 34 2 3 2" xfId="8914"/>
    <cellStyle name="Normal 34 2 3 2 2" xfId="8915"/>
    <cellStyle name="Normal 34 2 3 3" xfId="8916"/>
    <cellStyle name="Normal 34 2 3 3 2" xfId="8917"/>
    <cellStyle name="Normal 34 2 3 4" xfId="8918"/>
    <cellStyle name="Normal 34 2 4" xfId="8919"/>
    <cellStyle name="Normal 34 2 4 2" xfId="8920"/>
    <cellStyle name="Normal 34 2 4 2 2" xfId="8921"/>
    <cellStyle name="Normal 34 2 4 3" xfId="8922"/>
    <cellStyle name="Normal 34 2 4 3 2" xfId="8923"/>
    <cellStyle name="Normal 34 2 4 4" xfId="8924"/>
    <cellStyle name="Normal 34 2 5" xfId="8925"/>
    <cellStyle name="Normal 34 2 5 2" xfId="8926"/>
    <cellStyle name="Normal 34 2 5 2 2" xfId="8927"/>
    <cellStyle name="Normal 34 2 5 3" xfId="8928"/>
    <cellStyle name="Normal 34 2 5 3 2" xfId="8929"/>
    <cellStyle name="Normal 34 2 5 4" xfId="8930"/>
    <cellStyle name="Normal 34 2 6" xfId="8931"/>
    <cellStyle name="Normal 34 2 6 2" xfId="8932"/>
    <cellStyle name="Normal 34 2 7" xfId="8933"/>
    <cellStyle name="Normal 34 2 7 2" xfId="8934"/>
    <cellStyle name="Normal 34 2 8" xfId="8935"/>
    <cellStyle name="Normal 34 2 8 2" xfId="8936"/>
    <cellStyle name="Normal 34 2 9" xfId="8937"/>
    <cellStyle name="Normal 34 3" xfId="8938"/>
    <cellStyle name="Normal 34 3 10" xfId="8939"/>
    <cellStyle name="Normal 34 3 2" xfId="8940"/>
    <cellStyle name="Normal 34 3 2 2" xfId="8941"/>
    <cellStyle name="Normal 34 3 2 2 2" xfId="8942"/>
    <cellStyle name="Normal 34 3 2 2 2 2" xfId="8943"/>
    <cellStyle name="Normal 34 3 2 2 3" xfId="8944"/>
    <cellStyle name="Normal 34 3 2 2 3 2" xfId="8945"/>
    <cellStyle name="Normal 34 3 2 2 4" xfId="8946"/>
    <cellStyle name="Normal 34 3 2 3" xfId="8947"/>
    <cellStyle name="Normal 34 3 2 3 2" xfId="8948"/>
    <cellStyle name="Normal 34 3 2 3 2 2" xfId="8949"/>
    <cellStyle name="Normal 34 3 2 3 3" xfId="8950"/>
    <cellStyle name="Normal 34 3 2 3 3 2" xfId="8951"/>
    <cellStyle name="Normal 34 3 2 3 4" xfId="8952"/>
    <cellStyle name="Normal 34 3 2 4" xfId="8953"/>
    <cellStyle name="Normal 34 3 2 4 2" xfId="8954"/>
    <cellStyle name="Normal 34 3 2 4 2 2" xfId="8955"/>
    <cellStyle name="Normal 34 3 2 4 3" xfId="8956"/>
    <cellStyle name="Normal 34 3 2 4 3 2" xfId="8957"/>
    <cellStyle name="Normal 34 3 2 4 4" xfId="8958"/>
    <cellStyle name="Normal 34 3 2 5" xfId="8959"/>
    <cellStyle name="Normal 34 3 2 5 2" xfId="8960"/>
    <cellStyle name="Normal 34 3 2 6" xfId="8961"/>
    <cellStyle name="Normal 34 3 2 6 2" xfId="8962"/>
    <cellStyle name="Normal 34 3 2 7" xfId="8963"/>
    <cellStyle name="Normal 34 3 3" xfId="8964"/>
    <cellStyle name="Normal 34 3 3 2" xfId="8965"/>
    <cellStyle name="Normal 34 3 3 2 2" xfId="8966"/>
    <cellStyle name="Normal 34 3 3 3" xfId="8967"/>
    <cellStyle name="Normal 34 3 3 3 2" xfId="8968"/>
    <cellStyle name="Normal 34 3 3 4" xfId="8969"/>
    <cellStyle name="Normal 34 3 4" xfId="8970"/>
    <cellStyle name="Normal 34 3 4 2" xfId="8971"/>
    <cellStyle name="Normal 34 3 4 2 2" xfId="8972"/>
    <cellStyle name="Normal 34 3 4 3" xfId="8973"/>
    <cellStyle name="Normal 34 3 4 3 2" xfId="8974"/>
    <cellStyle name="Normal 34 3 4 4" xfId="8975"/>
    <cellStyle name="Normal 34 3 5" xfId="8976"/>
    <cellStyle name="Normal 34 3 5 2" xfId="8977"/>
    <cellStyle name="Normal 34 3 5 2 2" xfId="8978"/>
    <cellStyle name="Normal 34 3 5 3" xfId="8979"/>
    <cellStyle name="Normal 34 3 5 3 2" xfId="8980"/>
    <cellStyle name="Normal 34 3 5 4" xfId="8981"/>
    <cellStyle name="Normal 34 3 6" xfId="8982"/>
    <cellStyle name="Normal 34 3 6 2" xfId="8983"/>
    <cellStyle name="Normal 34 3 7" xfId="8984"/>
    <cellStyle name="Normal 34 3 7 2" xfId="8985"/>
    <cellStyle name="Normal 34 3 8" xfId="8986"/>
    <cellStyle name="Normal 34 3 8 2" xfId="8987"/>
    <cellStyle name="Normal 34 3 9" xfId="8988"/>
    <cellStyle name="Normal 34 4" xfId="8989"/>
    <cellStyle name="Normal 34 4 2" xfId="8990"/>
    <cellStyle name="Normal 34 4 2 2" xfId="8991"/>
    <cellStyle name="Normal 34 4 2 2 2" xfId="8992"/>
    <cellStyle name="Normal 34 4 2 3" xfId="8993"/>
    <cellStyle name="Normal 34 4 2 3 2" xfId="8994"/>
    <cellStyle name="Normal 34 4 2 4" xfId="8995"/>
    <cellStyle name="Normal 34 4 3" xfId="8996"/>
    <cellStyle name="Normal 34 4 3 2" xfId="8997"/>
    <cellStyle name="Normal 34 4 3 2 2" xfId="8998"/>
    <cellStyle name="Normal 34 4 3 3" xfId="8999"/>
    <cellStyle name="Normal 34 4 3 3 2" xfId="9000"/>
    <cellStyle name="Normal 34 4 3 4" xfId="9001"/>
    <cellStyle name="Normal 34 4 4" xfId="9002"/>
    <cellStyle name="Normal 34 4 4 2" xfId="9003"/>
    <cellStyle name="Normal 34 4 4 2 2" xfId="9004"/>
    <cellStyle name="Normal 34 4 4 3" xfId="9005"/>
    <cellStyle name="Normal 34 4 4 3 2" xfId="9006"/>
    <cellStyle name="Normal 34 4 4 4" xfId="9007"/>
    <cellStyle name="Normal 34 4 5" xfId="9008"/>
    <cellStyle name="Normal 34 4 5 2" xfId="9009"/>
    <cellStyle name="Normal 34 4 6" xfId="9010"/>
    <cellStyle name="Normal 34 4 6 2" xfId="9011"/>
    <cellStyle name="Normal 34 4 7" xfId="9012"/>
    <cellStyle name="Normal 34 5" xfId="9013"/>
    <cellStyle name="Normal 34 5 2" xfId="9014"/>
    <cellStyle name="Normal 34 5 3" xfId="9015"/>
    <cellStyle name="Normal 34 5 3 2" xfId="9016"/>
    <cellStyle name="Normal 34 5 4" xfId="9017"/>
    <cellStyle name="Normal 34 5 4 2" xfId="9018"/>
    <cellStyle name="Normal 34 5 5" xfId="9019"/>
    <cellStyle name="Normal 34 6" xfId="9020"/>
    <cellStyle name="Normal 34 6 2" xfId="9021"/>
    <cellStyle name="Normal 34 6 2 2" xfId="9022"/>
    <cellStyle name="Normal 34 6 3" xfId="9023"/>
    <cellStyle name="Normal 34 6 3 2" xfId="9024"/>
    <cellStyle name="Normal 34 6 4" xfId="9025"/>
    <cellStyle name="Normal 34 7" xfId="9026"/>
    <cellStyle name="Normal 34 7 2" xfId="9027"/>
    <cellStyle name="Normal 34 7 2 2" xfId="9028"/>
    <cellStyle name="Normal 34 7 3" xfId="9029"/>
    <cellStyle name="Normal 34 7 3 2" xfId="9030"/>
    <cellStyle name="Normal 34 7 4" xfId="9031"/>
    <cellStyle name="Normal 34 8" xfId="9032"/>
    <cellStyle name="Normal 34 9" xfId="9033"/>
    <cellStyle name="Normal 34 9 2" xfId="9034"/>
    <cellStyle name="Normal 35" xfId="9035"/>
    <cellStyle name="Normal 35 10" xfId="9036"/>
    <cellStyle name="Normal 35 11" xfId="9037"/>
    <cellStyle name="Normal 35 2" xfId="9038"/>
    <cellStyle name="Normal 35 2 10" xfId="9039"/>
    <cellStyle name="Normal 35 2 2" xfId="9040"/>
    <cellStyle name="Normal 35 2 2 2" xfId="9041"/>
    <cellStyle name="Normal 35 2 2 2 2" xfId="9042"/>
    <cellStyle name="Normal 35 2 2 2 2 2" xfId="9043"/>
    <cellStyle name="Normal 35 2 2 2 3" xfId="9044"/>
    <cellStyle name="Normal 35 2 2 2 3 2" xfId="9045"/>
    <cellStyle name="Normal 35 2 2 2 4" xfId="9046"/>
    <cellStyle name="Normal 35 2 2 3" xfId="9047"/>
    <cellStyle name="Normal 35 2 2 3 2" xfId="9048"/>
    <cellStyle name="Normal 35 2 2 3 2 2" xfId="9049"/>
    <cellStyle name="Normal 35 2 2 3 3" xfId="9050"/>
    <cellStyle name="Normal 35 2 2 3 3 2" xfId="9051"/>
    <cellStyle name="Normal 35 2 2 3 4" xfId="9052"/>
    <cellStyle name="Normal 35 2 2 4" xfId="9053"/>
    <cellStyle name="Normal 35 2 2 4 2" xfId="9054"/>
    <cellStyle name="Normal 35 2 2 4 2 2" xfId="9055"/>
    <cellStyle name="Normal 35 2 2 4 3" xfId="9056"/>
    <cellStyle name="Normal 35 2 2 4 3 2" xfId="9057"/>
    <cellStyle name="Normal 35 2 2 4 4" xfId="9058"/>
    <cellStyle name="Normal 35 2 2 5" xfId="9059"/>
    <cellStyle name="Normal 35 2 2 5 2" xfId="9060"/>
    <cellStyle name="Normal 35 2 2 6" xfId="9061"/>
    <cellStyle name="Normal 35 2 2 6 2" xfId="9062"/>
    <cellStyle name="Normal 35 2 2 7" xfId="9063"/>
    <cellStyle name="Normal 35 2 3" xfId="9064"/>
    <cellStyle name="Normal 35 2 3 2" xfId="9065"/>
    <cellStyle name="Normal 35 2 3 2 2" xfId="9066"/>
    <cellStyle name="Normal 35 2 3 3" xfId="9067"/>
    <cellStyle name="Normal 35 2 3 3 2" xfId="9068"/>
    <cellStyle name="Normal 35 2 3 4" xfId="9069"/>
    <cellStyle name="Normal 35 2 4" xfId="9070"/>
    <cellStyle name="Normal 35 2 4 2" xfId="9071"/>
    <cellStyle name="Normal 35 2 4 2 2" xfId="9072"/>
    <cellStyle name="Normal 35 2 4 3" xfId="9073"/>
    <cellStyle name="Normal 35 2 4 3 2" xfId="9074"/>
    <cellStyle name="Normal 35 2 4 4" xfId="9075"/>
    <cellStyle name="Normal 35 2 5" xfId="9076"/>
    <cellStyle name="Normal 35 2 5 2" xfId="9077"/>
    <cellStyle name="Normal 35 2 5 2 2" xfId="9078"/>
    <cellStyle name="Normal 35 2 5 3" xfId="9079"/>
    <cellStyle name="Normal 35 2 5 3 2" xfId="9080"/>
    <cellStyle name="Normal 35 2 5 4" xfId="9081"/>
    <cellStyle name="Normal 35 2 6" xfId="9082"/>
    <cellStyle name="Normal 35 2 6 2" xfId="9083"/>
    <cellStyle name="Normal 35 2 7" xfId="9084"/>
    <cellStyle name="Normal 35 2 7 2" xfId="9085"/>
    <cellStyle name="Normal 35 2 8" xfId="9086"/>
    <cellStyle name="Normal 35 2 8 2" xfId="9087"/>
    <cellStyle name="Normal 35 2 9" xfId="9088"/>
    <cellStyle name="Normal 35 3" xfId="9089"/>
    <cellStyle name="Normal 35 3 10" xfId="9090"/>
    <cellStyle name="Normal 35 3 2" xfId="9091"/>
    <cellStyle name="Normal 35 3 2 2" xfId="9092"/>
    <cellStyle name="Normal 35 3 2 2 2" xfId="9093"/>
    <cellStyle name="Normal 35 3 2 2 2 2" xfId="9094"/>
    <cellStyle name="Normal 35 3 2 2 3" xfId="9095"/>
    <cellStyle name="Normal 35 3 2 2 3 2" xfId="9096"/>
    <cellStyle name="Normal 35 3 2 2 4" xfId="9097"/>
    <cellStyle name="Normal 35 3 2 3" xfId="9098"/>
    <cellStyle name="Normal 35 3 2 3 2" xfId="9099"/>
    <cellStyle name="Normal 35 3 2 3 2 2" xfId="9100"/>
    <cellStyle name="Normal 35 3 2 3 3" xfId="9101"/>
    <cellStyle name="Normal 35 3 2 3 3 2" xfId="9102"/>
    <cellStyle name="Normal 35 3 2 3 4" xfId="9103"/>
    <cellStyle name="Normal 35 3 2 4" xfId="9104"/>
    <cellStyle name="Normal 35 3 2 4 2" xfId="9105"/>
    <cellStyle name="Normal 35 3 2 4 2 2" xfId="9106"/>
    <cellStyle name="Normal 35 3 2 4 3" xfId="9107"/>
    <cellStyle name="Normal 35 3 2 4 3 2" xfId="9108"/>
    <cellStyle name="Normal 35 3 2 4 4" xfId="9109"/>
    <cellStyle name="Normal 35 3 2 5" xfId="9110"/>
    <cellStyle name="Normal 35 3 2 5 2" xfId="9111"/>
    <cellStyle name="Normal 35 3 2 6" xfId="9112"/>
    <cellStyle name="Normal 35 3 2 6 2" xfId="9113"/>
    <cellStyle name="Normal 35 3 2 7" xfId="9114"/>
    <cellStyle name="Normal 35 3 3" xfId="9115"/>
    <cellStyle name="Normal 35 3 3 2" xfId="9116"/>
    <cellStyle name="Normal 35 3 3 2 2" xfId="9117"/>
    <cellStyle name="Normal 35 3 3 3" xfId="9118"/>
    <cellStyle name="Normal 35 3 3 3 2" xfId="9119"/>
    <cellStyle name="Normal 35 3 3 4" xfId="9120"/>
    <cellStyle name="Normal 35 3 4" xfId="9121"/>
    <cellStyle name="Normal 35 3 4 2" xfId="9122"/>
    <cellStyle name="Normal 35 3 4 2 2" xfId="9123"/>
    <cellStyle name="Normal 35 3 4 3" xfId="9124"/>
    <cellStyle name="Normal 35 3 4 3 2" xfId="9125"/>
    <cellStyle name="Normal 35 3 4 4" xfId="9126"/>
    <cellStyle name="Normal 35 3 5" xfId="9127"/>
    <cellStyle name="Normal 35 3 5 2" xfId="9128"/>
    <cellStyle name="Normal 35 3 5 2 2" xfId="9129"/>
    <cellStyle name="Normal 35 3 5 3" xfId="9130"/>
    <cellStyle name="Normal 35 3 5 3 2" xfId="9131"/>
    <cellStyle name="Normal 35 3 5 4" xfId="9132"/>
    <cellStyle name="Normal 35 3 6" xfId="9133"/>
    <cellStyle name="Normal 35 3 6 2" xfId="9134"/>
    <cellStyle name="Normal 35 3 7" xfId="9135"/>
    <cellStyle name="Normal 35 3 7 2" xfId="9136"/>
    <cellStyle name="Normal 35 3 8" xfId="9137"/>
    <cellStyle name="Normal 35 3 8 2" xfId="9138"/>
    <cellStyle name="Normal 35 3 9" xfId="9139"/>
    <cellStyle name="Normal 35 4" xfId="9140"/>
    <cellStyle name="Normal 35 4 2" xfId="9141"/>
    <cellStyle name="Normal 35 4 2 2" xfId="9142"/>
    <cellStyle name="Normal 35 4 2 2 2" xfId="9143"/>
    <cellStyle name="Normal 35 4 2 3" xfId="9144"/>
    <cellStyle name="Normal 35 4 2 3 2" xfId="9145"/>
    <cellStyle name="Normal 35 4 2 4" xfId="9146"/>
    <cellStyle name="Normal 35 4 3" xfId="9147"/>
    <cellStyle name="Normal 35 4 3 2" xfId="9148"/>
    <cellStyle name="Normal 35 4 3 2 2" xfId="9149"/>
    <cellStyle name="Normal 35 4 3 3" xfId="9150"/>
    <cellStyle name="Normal 35 4 3 3 2" xfId="9151"/>
    <cellStyle name="Normal 35 4 3 4" xfId="9152"/>
    <cellStyle name="Normal 35 4 4" xfId="9153"/>
    <cellStyle name="Normal 35 4 4 2" xfId="9154"/>
    <cellStyle name="Normal 35 4 4 2 2" xfId="9155"/>
    <cellStyle name="Normal 35 4 4 3" xfId="9156"/>
    <cellStyle name="Normal 35 4 4 3 2" xfId="9157"/>
    <cellStyle name="Normal 35 4 4 4" xfId="9158"/>
    <cellStyle name="Normal 35 4 5" xfId="9159"/>
    <cellStyle name="Normal 35 4 5 2" xfId="9160"/>
    <cellStyle name="Normal 35 4 6" xfId="9161"/>
    <cellStyle name="Normal 35 4 6 2" xfId="9162"/>
    <cellStyle name="Normal 35 4 7" xfId="9163"/>
    <cellStyle name="Normal 35 5" xfId="9164"/>
    <cellStyle name="Normal 35 5 2" xfId="9165"/>
    <cellStyle name="Normal 35 5 3" xfId="9166"/>
    <cellStyle name="Normal 35 5 3 2" xfId="9167"/>
    <cellStyle name="Normal 35 5 4" xfId="9168"/>
    <cellStyle name="Normal 35 5 4 2" xfId="9169"/>
    <cellStyle name="Normal 35 5 5" xfId="9170"/>
    <cellStyle name="Normal 35 6" xfId="9171"/>
    <cellStyle name="Normal 35 6 2" xfId="9172"/>
    <cellStyle name="Normal 35 6 2 2" xfId="9173"/>
    <cellStyle name="Normal 35 6 3" xfId="9174"/>
    <cellStyle name="Normal 35 6 3 2" xfId="9175"/>
    <cellStyle name="Normal 35 6 4" xfId="9176"/>
    <cellStyle name="Normal 35 7" xfId="9177"/>
    <cellStyle name="Normal 35 7 2" xfId="9178"/>
    <cellStyle name="Normal 35 7 2 2" xfId="9179"/>
    <cellStyle name="Normal 35 7 3" xfId="9180"/>
    <cellStyle name="Normal 35 7 3 2" xfId="9181"/>
    <cellStyle name="Normal 35 7 4" xfId="9182"/>
    <cellStyle name="Normal 35 8" xfId="9183"/>
    <cellStyle name="Normal 35 9" xfId="9184"/>
    <cellStyle name="Normal 35 9 2" xfId="9185"/>
    <cellStyle name="Normal 36" xfId="9186"/>
    <cellStyle name="Normal 36 10" xfId="9187"/>
    <cellStyle name="Normal 36 11" xfId="9188"/>
    <cellStyle name="Normal 36 11 2" xfId="9189"/>
    <cellStyle name="Normal 36 11 2 2" xfId="9190"/>
    <cellStyle name="Normal 36 11 3" xfId="9191"/>
    <cellStyle name="Normal 36 11 3 2" xfId="9192"/>
    <cellStyle name="Normal 36 11 4" xfId="9193"/>
    <cellStyle name="Normal 36 12" xfId="9194"/>
    <cellStyle name="Normal 36 13" xfId="9195"/>
    <cellStyle name="Normal 36 13 2" xfId="9196"/>
    <cellStyle name="Normal 36 14" xfId="9197"/>
    <cellStyle name="Normal 36 15" xfId="9198"/>
    <cellStyle name="Normal 36 2" xfId="9199"/>
    <cellStyle name="Normal 36 2 10" xfId="9200"/>
    <cellStyle name="Normal 36 2 2" xfId="9201"/>
    <cellStyle name="Normal 36 2 2 2" xfId="9202"/>
    <cellStyle name="Normal 36 2 2 2 2" xfId="9203"/>
    <cellStyle name="Normal 36 2 2 2 2 2" xfId="9204"/>
    <cellStyle name="Normal 36 2 2 2 3" xfId="9205"/>
    <cellStyle name="Normal 36 2 2 2 3 2" xfId="9206"/>
    <cellStyle name="Normal 36 2 2 2 4" xfId="9207"/>
    <cellStyle name="Normal 36 2 2 3" xfId="9208"/>
    <cellStyle name="Normal 36 2 2 3 2" xfId="9209"/>
    <cellStyle name="Normal 36 2 2 3 2 2" xfId="9210"/>
    <cellStyle name="Normal 36 2 2 3 3" xfId="9211"/>
    <cellStyle name="Normal 36 2 2 3 3 2" xfId="9212"/>
    <cellStyle name="Normal 36 2 2 3 4" xfId="9213"/>
    <cellStyle name="Normal 36 2 2 4" xfId="9214"/>
    <cellStyle name="Normal 36 2 2 4 2" xfId="9215"/>
    <cellStyle name="Normal 36 2 2 4 2 2" xfId="9216"/>
    <cellStyle name="Normal 36 2 2 4 3" xfId="9217"/>
    <cellStyle name="Normal 36 2 2 4 3 2" xfId="9218"/>
    <cellStyle name="Normal 36 2 2 4 4" xfId="9219"/>
    <cellStyle name="Normal 36 2 2 5" xfId="9220"/>
    <cellStyle name="Normal 36 2 2 5 2" xfId="9221"/>
    <cellStyle name="Normal 36 2 2 6" xfId="9222"/>
    <cellStyle name="Normal 36 2 2 6 2" xfId="9223"/>
    <cellStyle name="Normal 36 2 2 7" xfId="9224"/>
    <cellStyle name="Normal 36 2 3" xfId="9225"/>
    <cellStyle name="Normal 36 2 3 2" xfId="9226"/>
    <cellStyle name="Normal 36 2 3 3" xfId="9227"/>
    <cellStyle name="Normal 36 2 3 3 2" xfId="9228"/>
    <cellStyle name="Normal 36 2 3 4" xfId="9229"/>
    <cellStyle name="Normal 36 2 3 4 2" xfId="9230"/>
    <cellStyle name="Normal 36 2 3 5" xfId="9231"/>
    <cellStyle name="Normal 36 2 4" xfId="9232"/>
    <cellStyle name="Normal 36 2 4 2" xfId="9233"/>
    <cellStyle name="Normal 36 2 4 2 2" xfId="9234"/>
    <cellStyle name="Normal 36 2 4 3" xfId="9235"/>
    <cellStyle name="Normal 36 2 4 3 2" xfId="9236"/>
    <cellStyle name="Normal 36 2 4 4" xfId="9237"/>
    <cellStyle name="Normal 36 2 5" xfId="9238"/>
    <cellStyle name="Normal 36 2 5 2" xfId="9239"/>
    <cellStyle name="Normal 36 2 5 2 2" xfId="9240"/>
    <cellStyle name="Normal 36 2 5 3" xfId="9241"/>
    <cellStyle name="Normal 36 2 5 3 2" xfId="9242"/>
    <cellStyle name="Normal 36 2 5 4" xfId="9243"/>
    <cellStyle name="Normal 36 2 6" xfId="9244"/>
    <cellStyle name="Normal 36 2 6 2" xfId="9245"/>
    <cellStyle name="Normal 36 2 7" xfId="9246"/>
    <cellStyle name="Normal 36 2 7 2" xfId="9247"/>
    <cellStyle name="Normal 36 2 8" xfId="9248"/>
    <cellStyle name="Normal 36 2 8 2" xfId="9249"/>
    <cellStyle name="Normal 36 2 9" xfId="9250"/>
    <cellStyle name="Normal 36 3" xfId="9251"/>
    <cellStyle name="Normal 36 3 10" xfId="9252"/>
    <cellStyle name="Normal 36 3 2" xfId="9253"/>
    <cellStyle name="Normal 36 3 2 2" xfId="9254"/>
    <cellStyle name="Normal 36 3 2 2 2" xfId="9255"/>
    <cellStyle name="Normal 36 3 2 2 2 2" xfId="9256"/>
    <cellStyle name="Normal 36 3 2 2 3" xfId="9257"/>
    <cellStyle name="Normal 36 3 2 2 3 2" xfId="9258"/>
    <cellStyle name="Normal 36 3 2 2 4" xfId="9259"/>
    <cellStyle name="Normal 36 3 2 3" xfId="9260"/>
    <cellStyle name="Normal 36 3 2 3 2" xfId="9261"/>
    <cellStyle name="Normal 36 3 2 3 2 2" xfId="9262"/>
    <cellStyle name="Normal 36 3 2 3 3" xfId="9263"/>
    <cellStyle name="Normal 36 3 2 3 3 2" xfId="9264"/>
    <cellStyle name="Normal 36 3 2 3 4" xfId="9265"/>
    <cellStyle name="Normal 36 3 2 4" xfId="9266"/>
    <cellStyle name="Normal 36 3 2 4 2" xfId="9267"/>
    <cellStyle name="Normal 36 3 2 4 2 2" xfId="9268"/>
    <cellStyle name="Normal 36 3 2 4 3" xfId="9269"/>
    <cellStyle name="Normal 36 3 2 4 3 2" xfId="9270"/>
    <cellStyle name="Normal 36 3 2 4 4" xfId="9271"/>
    <cellStyle name="Normal 36 3 2 5" xfId="9272"/>
    <cellStyle name="Normal 36 3 2 5 2" xfId="9273"/>
    <cellStyle name="Normal 36 3 2 6" xfId="9274"/>
    <cellStyle name="Normal 36 3 2 6 2" xfId="9275"/>
    <cellStyle name="Normal 36 3 2 7" xfId="9276"/>
    <cellStyle name="Normal 36 3 3" xfId="9277"/>
    <cellStyle name="Normal 36 3 3 2" xfId="9278"/>
    <cellStyle name="Normal 36 3 3 3" xfId="9279"/>
    <cellStyle name="Normal 36 3 3 3 2" xfId="9280"/>
    <cellStyle name="Normal 36 3 3 4" xfId="9281"/>
    <cellStyle name="Normal 36 3 3 4 2" xfId="9282"/>
    <cellStyle name="Normal 36 3 3 5" xfId="9283"/>
    <cellStyle name="Normal 36 3 4" xfId="9284"/>
    <cellStyle name="Normal 36 3 4 2" xfId="9285"/>
    <cellStyle name="Normal 36 3 4 2 2" xfId="9286"/>
    <cellStyle name="Normal 36 3 4 3" xfId="9287"/>
    <cellStyle name="Normal 36 3 4 3 2" xfId="9288"/>
    <cellStyle name="Normal 36 3 4 4" xfId="9289"/>
    <cellStyle name="Normal 36 3 5" xfId="9290"/>
    <cellStyle name="Normal 36 3 5 2" xfId="9291"/>
    <cellStyle name="Normal 36 3 5 2 2" xfId="9292"/>
    <cellStyle name="Normal 36 3 5 3" xfId="9293"/>
    <cellStyle name="Normal 36 3 5 3 2" xfId="9294"/>
    <cellStyle name="Normal 36 3 5 4" xfId="9295"/>
    <cellStyle name="Normal 36 3 6" xfId="9296"/>
    <cellStyle name="Normal 36 3 6 2" xfId="9297"/>
    <cellStyle name="Normal 36 3 7" xfId="9298"/>
    <cellStyle name="Normal 36 3 7 2" xfId="9299"/>
    <cellStyle name="Normal 36 3 8" xfId="9300"/>
    <cellStyle name="Normal 36 3 8 2" xfId="9301"/>
    <cellStyle name="Normal 36 3 9" xfId="9302"/>
    <cellStyle name="Normal 36 4" xfId="9303"/>
    <cellStyle name="Normal 36 4 2" xfId="9304"/>
    <cellStyle name="Normal 36 4 2 2" xfId="9305"/>
    <cellStyle name="Normal 36 4 2 3" xfId="9306"/>
    <cellStyle name="Normal 36 4 2 3 2" xfId="9307"/>
    <cellStyle name="Normal 36 4 2 4" xfId="9308"/>
    <cellStyle name="Normal 36 4 2 4 2" xfId="9309"/>
    <cellStyle name="Normal 36 4 2 5" xfId="9310"/>
    <cellStyle name="Normal 36 4 3" xfId="9311"/>
    <cellStyle name="Normal 36 4 3 2" xfId="9312"/>
    <cellStyle name="Normal 36 4 3 2 2" xfId="9313"/>
    <cellStyle name="Normal 36 4 3 3" xfId="9314"/>
    <cellStyle name="Normal 36 4 3 3 2" xfId="9315"/>
    <cellStyle name="Normal 36 4 3 4" xfId="9316"/>
    <cellStyle name="Normal 36 4 4" xfId="9317"/>
    <cellStyle name="Normal 36 4 4 2" xfId="9318"/>
    <cellStyle name="Normal 36 4 4 2 2" xfId="9319"/>
    <cellStyle name="Normal 36 4 4 3" xfId="9320"/>
    <cellStyle name="Normal 36 4 4 3 2" xfId="9321"/>
    <cellStyle name="Normal 36 4 4 4" xfId="9322"/>
    <cellStyle name="Normal 36 4 5" xfId="9323"/>
    <cellStyle name="Normal 36 4 5 2" xfId="9324"/>
    <cellStyle name="Normal 36 4 6" xfId="9325"/>
    <cellStyle name="Normal 36 4 6 2" xfId="9326"/>
    <cellStyle name="Normal 36 4 7" xfId="9327"/>
    <cellStyle name="Normal 36 5" xfId="9328"/>
    <cellStyle name="Normal 36 5 2" xfId="9329"/>
    <cellStyle name="Normal 36 5 3" xfId="9330"/>
    <cellStyle name="Normal 36 5 3 2" xfId="9331"/>
    <cellStyle name="Normal 36 5 4" xfId="9332"/>
    <cellStyle name="Normal 36 5 4 2" xfId="9333"/>
    <cellStyle name="Normal 36 5 5" xfId="9334"/>
    <cellStyle name="Normal 36 6" xfId="9335"/>
    <cellStyle name="Normal 36 6 2" xfId="9336"/>
    <cellStyle name="Normal 36 6 3" xfId="9337"/>
    <cellStyle name="Normal 36 6 3 2" xfId="9338"/>
    <cellStyle name="Normal 36 6 4" xfId="9339"/>
    <cellStyle name="Normal 36 6 4 2" xfId="9340"/>
    <cellStyle name="Normal 36 6 5" xfId="9341"/>
    <cellStyle name="Normal 36 7" xfId="9342"/>
    <cellStyle name="Normal 36 8" xfId="9343"/>
    <cellStyle name="Normal 36 9" xfId="9344"/>
    <cellStyle name="Normal 37" xfId="9345"/>
    <cellStyle name="Normal 37 10" xfId="9346"/>
    <cellStyle name="Normal 37 11" xfId="9347"/>
    <cellStyle name="Normal 37 2" xfId="9348"/>
    <cellStyle name="Normal 37 2 2" xfId="9349"/>
    <cellStyle name="Normal 37 3" xfId="9350"/>
    <cellStyle name="Normal 37 4" xfId="9351"/>
    <cellStyle name="Normal 37 5" xfId="9352"/>
    <cellStyle name="Normal 37 6" xfId="9353"/>
    <cellStyle name="Normal 37 7" xfId="9354"/>
    <cellStyle name="Normal 37 8" xfId="9355"/>
    <cellStyle name="Normal 37 9" xfId="9356"/>
    <cellStyle name="Normal 38" xfId="9357"/>
    <cellStyle name="Normal 38 10" xfId="9358"/>
    <cellStyle name="Normal 38 11" xfId="9359"/>
    <cellStyle name="Normal 38 11 2" xfId="9360"/>
    <cellStyle name="Normal 38 11 2 2" xfId="9361"/>
    <cellStyle name="Normal 38 11 3" xfId="9362"/>
    <cellStyle name="Normal 38 11 3 2" xfId="9363"/>
    <cellStyle name="Normal 38 11 4" xfId="9364"/>
    <cellStyle name="Normal 38 12" xfId="9365"/>
    <cellStyle name="Normal 38 13" xfId="9366"/>
    <cellStyle name="Normal 38 13 2" xfId="9367"/>
    <cellStyle name="Normal 38 14" xfId="9368"/>
    <cellStyle name="Normal 38 15" xfId="9369"/>
    <cellStyle name="Normal 38 2" xfId="9370"/>
    <cellStyle name="Normal 38 2 2" xfId="9371"/>
    <cellStyle name="Normal 38 2 2 2" xfId="9372"/>
    <cellStyle name="Normal 38 2 2 3" xfId="9373"/>
    <cellStyle name="Normal 38 2 2 3 2" xfId="9374"/>
    <cellStyle name="Normal 38 2 2 4" xfId="9375"/>
    <cellStyle name="Normal 38 2 2 4 2" xfId="9376"/>
    <cellStyle name="Normal 38 2 2 5" xfId="9377"/>
    <cellStyle name="Normal 38 2 3" xfId="9378"/>
    <cellStyle name="Normal 38 2 3 2" xfId="9379"/>
    <cellStyle name="Normal 38 2 3 2 2" xfId="9380"/>
    <cellStyle name="Normal 38 2 3 3" xfId="9381"/>
    <cellStyle name="Normal 38 2 3 3 2" xfId="9382"/>
    <cellStyle name="Normal 38 2 3 4" xfId="9383"/>
    <cellStyle name="Normal 38 2 4" xfId="9384"/>
    <cellStyle name="Normal 38 2 4 2" xfId="9385"/>
    <cellStyle name="Normal 38 2 4 2 2" xfId="9386"/>
    <cellStyle name="Normal 38 2 4 3" xfId="9387"/>
    <cellStyle name="Normal 38 2 4 3 2" xfId="9388"/>
    <cellStyle name="Normal 38 2 4 4" xfId="9389"/>
    <cellStyle name="Normal 38 2 5" xfId="9390"/>
    <cellStyle name="Normal 38 2 5 2" xfId="9391"/>
    <cellStyle name="Normal 38 2 6" xfId="9392"/>
    <cellStyle name="Normal 38 2 6 2" xfId="9393"/>
    <cellStyle name="Normal 38 2 7" xfId="9394"/>
    <cellStyle name="Normal 38 3" xfId="9395"/>
    <cellStyle name="Normal 38 3 2" xfId="9396"/>
    <cellStyle name="Normal 38 3 3" xfId="9397"/>
    <cellStyle name="Normal 38 3 3 2" xfId="9398"/>
    <cellStyle name="Normal 38 3 4" xfId="9399"/>
    <cellStyle name="Normal 38 3 4 2" xfId="9400"/>
    <cellStyle name="Normal 38 3 5" xfId="9401"/>
    <cellStyle name="Normal 38 4" xfId="9402"/>
    <cellStyle name="Normal 38 4 2" xfId="9403"/>
    <cellStyle name="Normal 38 4 3" xfId="9404"/>
    <cellStyle name="Normal 38 4 3 2" xfId="9405"/>
    <cellStyle name="Normal 38 4 4" xfId="9406"/>
    <cellStyle name="Normal 38 4 4 2" xfId="9407"/>
    <cellStyle name="Normal 38 4 5" xfId="9408"/>
    <cellStyle name="Normal 38 5" xfId="9409"/>
    <cellStyle name="Normal 38 6" xfId="9410"/>
    <cellStyle name="Normal 38 7" xfId="9411"/>
    <cellStyle name="Normal 38 8" xfId="9412"/>
    <cellStyle name="Normal 38 9" xfId="9413"/>
    <cellStyle name="Normal 39" xfId="9414"/>
    <cellStyle name="Normal 39 10" xfId="9415"/>
    <cellStyle name="Normal 39 11" xfId="9416"/>
    <cellStyle name="Normal 39 11 2" xfId="9417"/>
    <cellStyle name="Normal 39 11 2 2" xfId="9418"/>
    <cellStyle name="Normal 39 11 3" xfId="9419"/>
    <cellStyle name="Normal 39 11 3 2" xfId="9420"/>
    <cellStyle name="Normal 39 11 4" xfId="9421"/>
    <cellStyle name="Normal 39 12" xfId="9422"/>
    <cellStyle name="Normal 39 13" xfId="9423"/>
    <cellStyle name="Normal 39 13 2" xfId="9424"/>
    <cellStyle name="Normal 39 14" xfId="9425"/>
    <cellStyle name="Normal 39 15" xfId="9426"/>
    <cellStyle name="Normal 39 2" xfId="9427"/>
    <cellStyle name="Normal 39 2 2" xfId="9428"/>
    <cellStyle name="Normal 39 2 2 2" xfId="9429"/>
    <cellStyle name="Normal 39 2 2 3" xfId="9430"/>
    <cellStyle name="Normal 39 2 2 3 2" xfId="9431"/>
    <cellStyle name="Normal 39 2 2 4" xfId="9432"/>
    <cellStyle name="Normal 39 2 2 4 2" xfId="9433"/>
    <cellStyle name="Normal 39 2 2 5" xfId="9434"/>
    <cellStyle name="Normal 39 2 3" xfId="9435"/>
    <cellStyle name="Normal 39 2 3 2" xfId="9436"/>
    <cellStyle name="Normal 39 2 3 2 2" xfId="9437"/>
    <cellStyle name="Normal 39 2 3 3" xfId="9438"/>
    <cellStyle name="Normal 39 2 3 3 2" xfId="9439"/>
    <cellStyle name="Normal 39 2 3 4" xfId="9440"/>
    <cellStyle name="Normal 39 2 4" xfId="9441"/>
    <cellStyle name="Normal 39 2 4 2" xfId="9442"/>
    <cellStyle name="Normal 39 2 4 2 2" xfId="9443"/>
    <cellStyle name="Normal 39 2 4 3" xfId="9444"/>
    <cellStyle name="Normal 39 2 4 3 2" xfId="9445"/>
    <cellStyle name="Normal 39 2 4 4" xfId="9446"/>
    <cellStyle name="Normal 39 2 5" xfId="9447"/>
    <cellStyle name="Normal 39 2 5 2" xfId="9448"/>
    <cellStyle name="Normal 39 2 6" xfId="9449"/>
    <cellStyle name="Normal 39 2 6 2" xfId="9450"/>
    <cellStyle name="Normal 39 2 7" xfId="9451"/>
    <cellStyle name="Normal 39 3" xfId="9452"/>
    <cellStyle name="Normal 39 3 2" xfId="9453"/>
    <cellStyle name="Normal 39 3 3" xfId="9454"/>
    <cellStyle name="Normal 39 3 3 2" xfId="9455"/>
    <cellStyle name="Normal 39 3 4" xfId="9456"/>
    <cellStyle name="Normal 39 3 4 2" xfId="9457"/>
    <cellStyle name="Normal 39 3 5" xfId="9458"/>
    <cellStyle name="Normal 39 4" xfId="9459"/>
    <cellStyle name="Normal 39 4 2" xfId="9460"/>
    <cellStyle name="Normal 39 4 3" xfId="9461"/>
    <cellStyle name="Normal 39 4 3 2" xfId="9462"/>
    <cellStyle name="Normal 39 4 4" xfId="9463"/>
    <cellStyle name="Normal 39 4 4 2" xfId="9464"/>
    <cellStyle name="Normal 39 4 5" xfId="9465"/>
    <cellStyle name="Normal 39 5" xfId="9466"/>
    <cellStyle name="Normal 39 6" xfId="9467"/>
    <cellStyle name="Normal 39 7" xfId="9468"/>
    <cellStyle name="Normal 39 8" xfId="9469"/>
    <cellStyle name="Normal 39 9" xfId="9470"/>
    <cellStyle name="Normal 4" xfId="9471"/>
    <cellStyle name="Normal 4 10" xfId="9472"/>
    <cellStyle name="Normal 4 10 2" xfId="9473"/>
    <cellStyle name="Normal 4 10 3" xfId="9474"/>
    <cellStyle name="Normal 4 10 3 2" xfId="9475"/>
    <cellStyle name="Normal 4 10 4" xfId="9476"/>
    <cellStyle name="Normal 4 10 4 2" xfId="9477"/>
    <cellStyle name="Normal 4 10 5" xfId="9478"/>
    <cellStyle name="Normal 4 11" xfId="9479"/>
    <cellStyle name="Normal 4 11 2" xfId="9480"/>
    <cellStyle name="Normal 4 11 3" xfId="9481"/>
    <cellStyle name="Normal 4 11 3 2" xfId="9482"/>
    <cellStyle name="Normal 4 11 4" xfId="9483"/>
    <cellStyle name="Normal 4 11 4 2" xfId="9484"/>
    <cellStyle name="Normal 4 11 5" xfId="9485"/>
    <cellStyle name="Normal 4 12" xfId="9486"/>
    <cellStyle name="Normal 4 13" xfId="9487"/>
    <cellStyle name="Normal 4 14" xfId="9488"/>
    <cellStyle name="Normal 4 15" xfId="9489"/>
    <cellStyle name="Normal 4 16" xfId="9490"/>
    <cellStyle name="Normal 4 17" xfId="9491"/>
    <cellStyle name="Normal 4 17 2" xfId="9492"/>
    <cellStyle name="Normal 4 17 2 2" xfId="9493"/>
    <cellStyle name="Normal 4 17 3" xfId="9494"/>
    <cellStyle name="Normal 4 17 3 2" xfId="9495"/>
    <cellStyle name="Normal 4 17 4" xfId="9496"/>
    <cellStyle name="Normal 4 18" xfId="9497"/>
    <cellStyle name="Normal 4 2" xfId="9498"/>
    <cellStyle name="Normal 4 2 2" xfId="9499"/>
    <cellStyle name="Normal 4 2 2 2" xfId="9500"/>
    <cellStyle name="Normal 4 2 2 2 2" xfId="9501"/>
    <cellStyle name="Normal 4 2 2 3" xfId="9502"/>
    <cellStyle name="Normal 4 2 2 3 2" xfId="9503"/>
    <cellStyle name="Normal 4 2 3" xfId="9504"/>
    <cellStyle name="Normal 4 3" xfId="9505"/>
    <cellStyle name="Normal 4 3 2" xfId="9506"/>
    <cellStyle name="Normal 4 3 3" xfId="9507"/>
    <cellStyle name="Normal 4 4" xfId="9508"/>
    <cellStyle name="Normal 4 4 2" xfId="9509"/>
    <cellStyle name="Normal 4 4 3" xfId="9510"/>
    <cellStyle name="Normal 4 5" xfId="9511"/>
    <cellStyle name="Normal 4 5 2" xfId="9512"/>
    <cellStyle name="Normal 4 5 3" xfId="9513"/>
    <cellStyle name="Normal 4 6" xfId="9514"/>
    <cellStyle name="Normal 4 6 2" xfId="9515"/>
    <cellStyle name="Normal 4 6 3" xfId="9516"/>
    <cellStyle name="Normal 4 7" xfId="9517"/>
    <cellStyle name="Normal 4 7 10" xfId="9518"/>
    <cellStyle name="Normal 4 7 2" xfId="9519"/>
    <cellStyle name="Normal 4 7 2 2" xfId="9520"/>
    <cellStyle name="Normal 4 7 2 2 2" xfId="9521"/>
    <cellStyle name="Normal 4 7 2 2 2 2" xfId="9522"/>
    <cellStyle name="Normal 4 7 2 2 3" xfId="9523"/>
    <cellStyle name="Normal 4 7 2 2 3 2" xfId="9524"/>
    <cellStyle name="Normal 4 7 2 2 4" xfId="9525"/>
    <cellStyle name="Normal 4 7 2 3" xfId="9526"/>
    <cellStyle name="Normal 4 7 2 3 2" xfId="9527"/>
    <cellStyle name="Normal 4 7 2 3 2 2" xfId="9528"/>
    <cellStyle name="Normal 4 7 2 3 3" xfId="9529"/>
    <cellStyle name="Normal 4 7 2 3 3 2" xfId="9530"/>
    <cellStyle name="Normal 4 7 2 3 4" xfId="9531"/>
    <cellStyle name="Normal 4 7 2 4" xfId="9532"/>
    <cellStyle name="Normal 4 7 2 4 2" xfId="9533"/>
    <cellStyle name="Normal 4 7 2 4 2 2" xfId="9534"/>
    <cellStyle name="Normal 4 7 2 4 3" xfId="9535"/>
    <cellStyle name="Normal 4 7 2 4 3 2" xfId="9536"/>
    <cellStyle name="Normal 4 7 2 4 4" xfId="9537"/>
    <cellStyle name="Normal 4 7 2 5" xfId="9538"/>
    <cellStyle name="Normal 4 7 2 5 2" xfId="9539"/>
    <cellStyle name="Normal 4 7 2 6" xfId="9540"/>
    <cellStyle name="Normal 4 7 2 6 2" xfId="9541"/>
    <cellStyle name="Normal 4 7 2 7" xfId="9542"/>
    <cellStyle name="Normal 4 7 3" xfId="9543"/>
    <cellStyle name="Normal 4 7 3 2" xfId="9544"/>
    <cellStyle name="Normal 4 7 3 3" xfId="9545"/>
    <cellStyle name="Normal 4 7 3 3 2" xfId="9546"/>
    <cellStyle name="Normal 4 7 3 4" xfId="9547"/>
    <cellStyle name="Normal 4 7 3 4 2" xfId="9548"/>
    <cellStyle name="Normal 4 7 3 5" xfId="9549"/>
    <cellStyle name="Normal 4 7 4" xfId="9550"/>
    <cellStyle name="Normal 4 7 4 2" xfId="9551"/>
    <cellStyle name="Normal 4 7 4 2 2" xfId="9552"/>
    <cellStyle name="Normal 4 7 4 3" xfId="9553"/>
    <cellStyle name="Normal 4 7 4 3 2" xfId="9554"/>
    <cellStyle name="Normal 4 7 4 4" xfId="9555"/>
    <cellStyle name="Normal 4 7 5" xfId="9556"/>
    <cellStyle name="Normal 4 7 5 2" xfId="9557"/>
    <cellStyle name="Normal 4 7 5 2 2" xfId="9558"/>
    <cellStyle name="Normal 4 7 5 3" xfId="9559"/>
    <cellStyle name="Normal 4 7 5 3 2" xfId="9560"/>
    <cellStyle name="Normal 4 7 5 4" xfId="9561"/>
    <cellStyle name="Normal 4 7 6" xfId="9562"/>
    <cellStyle name="Normal 4 7 6 2" xfId="9563"/>
    <cellStyle name="Normal 4 7 7" xfId="9564"/>
    <cellStyle name="Normal 4 7 7 2" xfId="9565"/>
    <cellStyle name="Normal 4 7 8" xfId="9566"/>
    <cellStyle name="Normal 4 7 8 2" xfId="9567"/>
    <cellStyle name="Normal 4 7 9" xfId="9568"/>
    <cellStyle name="Normal 4 8" xfId="9569"/>
    <cellStyle name="Normal 4 8 10" xfId="9570"/>
    <cellStyle name="Normal 4 8 2" xfId="9571"/>
    <cellStyle name="Normal 4 8 2 2" xfId="9572"/>
    <cellStyle name="Normal 4 8 2 2 2" xfId="9573"/>
    <cellStyle name="Normal 4 8 2 2 2 2" xfId="9574"/>
    <cellStyle name="Normal 4 8 2 2 3" xfId="9575"/>
    <cellStyle name="Normal 4 8 2 2 3 2" xfId="9576"/>
    <cellStyle name="Normal 4 8 2 2 4" xfId="9577"/>
    <cellStyle name="Normal 4 8 2 3" xfId="9578"/>
    <cellStyle name="Normal 4 8 2 3 2" xfId="9579"/>
    <cellStyle name="Normal 4 8 2 3 2 2" xfId="9580"/>
    <cellStyle name="Normal 4 8 2 3 3" xfId="9581"/>
    <cellStyle name="Normal 4 8 2 3 3 2" xfId="9582"/>
    <cellStyle name="Normal 4 8 2 3 4" xfId="9583"/>
    <cellStyle name="Normal 4 8 2 4" xfId="9584"/>
    <cellStyle name="Normal 4 8 2 4 2" xfId="9585"/>
    <cellStyle name="Normal 4 8 2 4 2 2" xfId="9586"/>
    <cellStyle name="Normal 4 8 2 4 3" xfId="9587"/>
    <cellStyle name="Normal 4 8 2 4 3 2" xfId="9588"/>
    <cellStyle name="Normal 4 8 2 4 4" xfId="9589"/>
    <cellStyle name="Normal 4 8 2 5" xfId="9590"/>
    <cellStyle name="Normal 4 8 2 5 2" xfId="9591"/>
    <cellStyle name="Normal 4 8 2 6" xfId="9592"/>
    <cellStyle name="Normal 4 8 2 6 2" xfId="9593"/>
    <cellStyle name="Normal 4 8 2 7" xfId="9594"/>
    <cellStyle name="Normal 4 8 3" xfId="9595"/>
    <cellStyle name="Normal 4 8 3 2" xfId="9596"/>
    <cellStyle name="Normal 4 8 3 3" xfId="9597"/>
    <cellStyle name="Normal 4 8 3 3 2" xfId="9598"/>
    <cellStyle name="Normal 4 8 3 4" xfId="9599"/>
    <cellStyle name="Normal 4 8 3 4 2" xfId="9600"/>
    <cellStyle name="Normal 4 8 3 5" xfId="9601"/>
    <cellStyle name="Normal 4 8 4" xfId="9602"/>
    <cellStyle name="Normal 4 8 4 2" xfId="9603"/>
    <cellStyle name="Normal 4 8 4 2 2" xfId="9604"/>
    <cellStyle name="Normal 4 8 4 3" xfId="9605"/>
    <cellStyle name="Normal 4 8 4 3 2" xfId="9606"/>
    <cellStyle name="Normal 4 8 4 4" xfId="9607"/>
    <cellStyle name="Normal 4 8 5" xfId="9608"/>
    <cellStyle name="Normal 4 8 5 2" xfId="9609"/>
    <cellStyle name="Normal 4 8 5 2 2" xfId="9610"/>
    <cellStyle name="Normal 4 8 5 3" xfId="9611"/>
    <cellStyle name="Normal 4 8 5 3 2" xfId="9612"/>
    <cellStyle name="Normal 4 8 5 4" xfId="9613"/>
    <cellStyle name="Normal 4 8 6" xfId="9614"/>
    <cellStyle name="Normal 4 8 6 2" xfId="9615"/>
    <cellStyle name="Normal 4 8 7" xfId="9616"/>
    <cellStyle name="Normal 4 8 7 2" xfId="9617"/>
    <cellStyle name="Normal 4 8 8" xfId="9618"/>
    <cellStyle name="Normal 4 8 8 2" xfId="9619"/>
    <cellStyle name="Normal 4 8 9" xfId="9620"/>
    <cellStyle name="Normal 4 9" xfId="9621"/>
    <cellStyle name="Normal 4 9 2" xfId="9622"/>
    <cellStyle name="Normal 4 9 2 2" xfId="9623"/>
    <cellStyle name="Normal 4 9 2 3" xfId="9624"/>
    <cellStyle name="Normal 4 9 2 3 2" xfId="9625"/>
    <cellStyle name="Normal 4 9 2 4" xfId="9626"/>
    <cellStyle name="Normal 4 9 2 4 2" xfId="9627"/>
    <cellStyle name="Normal 4 9 2 5" xfId="9628"/>
    <cellStyle name="Normal 4 9 3" xfId="9629"/>
    <cellStyle name="Normal 4 9 3 2" xfId="9630"/>
    <cellStyle name="Normal 4 9 3 2 2" xfId="9631"/>
    <cellStyle name="Normal 4 9 3 3" xfId="9632"/>
    <cellStyle name="Normal 4 9 3 3 2" xfId="9633"/>
    <cellStyle name="Normal 4 9 3 4" xfId="9634"/>
    <cellStyle name="Normal 4 9 4" xfId="9635"/>
    <cellStyle name="Normal 4 9 4 2" xfId="9636"/>
    <cellStyle name="Normal 4 9 4 2 2" xfId="9637"/>
    <cellStyle name="Normal 4 9 4 3" xfId="9638"/>
    <cellStyle name="Normal 4 9 4 3 2" xfId="9639"/>
    <cellStyle name="Normal 4 9 4 4" xfId="9640"/>
    <cellStyle name="Normal 4 9 5" xfId="9641"/>
    <cellStyle name="Normal 4 9 5 2" xfId="9642"/>
    <cellStyle name="Normal 4 9 6" xfId="9643"/>
    <cellStyle name="Normal 4 9 6 2" xfId="9644"/>
    <cellStyle name="Normal 4 9 7" xfId="9645"/>
    <cellStyle name="Normal 4 9 7 2" xfId="9646"/>
    <cellStyle name="Normal 4 9 8" xfId="9647"/>
    <cellStyle name="Normal 4 9 9" xfId="9648"/>
    <cellStyle name="Normal 40" xfId="9649"/>
    <cellStyle name="Normal 40 10" xfId="9650"/>
    <cellStyle name="Normal 40 11" xfId="9651"/>
    <cellStyle name="Normal 40 12" xfId="9652"/>
    <cellStyle name="Normal 40 2" xfId="9653"/>
    <cellStyle name="Normal 40 2 2" xfId="9654"/>
    <cellStyle name="Normal 40 3" xfId="9655"/>
    <cellStyle name="Normal 40 4" xfId="9656"/>
    <cellStyle name="Normal 40 5" xfId="9657"/>
    <cellStyle name="Normal 40 6" xfId="9658"/>
    <cellStyle name="Normal 40 7" xfId="9659"/>
    <cellStyle name="Normal 40 8" xfId="9660"/>
    <cellStyle name="Normal 40 9" xfId="9661"/>
    <cellStyle name="Normal 41" xfId="9662"/>
    <cellStyle name="Normal 41 10" xfId="9663"/>
    <cellStyle name="Normal 41 11" xfId="9664"/>
    <cellStyle name="Normal 41 12" xfId="9665"/>
    <cellStyle name="Normal 41 13" xfId="9666"/>
    <cellStyle name="Normal 41 2" xfId="9667"/>
    <cellStyle name="Normal 41 3" xfId="9668"/>
    <cellStyle name="Normal 41 4" xfId="9669"/>
    <cellStyle name="Normal 41 5" xfId="9670"/>
    <cellStyle name="Normal 41 6" xfId="9671"/>
    <cellStyle name="Normal 41 7" xfId="9672"/>
    <cellStyle name="Normal 41 8" xfId="9673"/>
    <cellStyle name="Normal 41 9" xfId="9674"/>
    <cellStyle name="Normal 42" xfId="9675"/>
    <cellStyle name="Normal 42 10" xfId="9676"/>
    <cellStyle name="Normal 42 11" xfId="9677"/>
    <cellStyle name="Normal 42 12" xfId="9678"/>
    <cellStyle name="Normal 42 13" xfId="9679"/>
    <cellStyle name="Normal 42 2" xfId="9680"/>
    <cellStyle name="Normal 42 3" xfId="9681"/>
    <cellStyle name="Normal 42 4" xfId="9682"/>
    <cellStyle name="Normal 42 5" xfId="9683"/>
    <cellStyle name="Normal 42 6" xfId="9684"/>
    <cellStyle name="Normal 42 7" xfId="9685"/>
    <cellStyle name="Normal 42 8" xfId="9686"/>
    <cellStyle name="Normal 42 9" xfId="9687"/>
    <cellStyle name="Normal 43" xfId="9688"/>
    <cellStyle name="Normal 43 10" xfId="9689"/>
    <cellStyle name="Normal 43 11" xfId="9690"/>
    <cellStyle name="Normal 43 12" xfId="9691"/>
    <cellStyle name="Normal 43 2" xfId="9692"/>
    <cellStyle name="Normal 43 3" xfId="9693"/>
    <cellStyle name="Normal 43 4" xfId="9694"/>
    <cellStyle name="Normal 43 5" xfId="9695"/>
    <cellStyle name="Normal 43 6" xfId="9696"/>
    <cellStyle name="Normal 43 7" xfId="9697"/>
    <cellStyle name="Normal 43 8" xfId="9698"/>
    <cellStyle name="Normal 43 9" xfId="9699"/>
    <cellStyle name="Normal 44" xfId="9700"/>
    <cellStyle name="Normal 44 10" xfId="9701"/>
    <cellStyle name="Normal 44 11" xfId="9702"/>
    <cellStyle name="Normal 44 12" xfId="9703"/>
    <cellStyle name="Normal 44 2" xfId="9704"/>
    <cellStyle name="Normal 44 3" xfId="9705"/>
    <cellStyle name="Normal 44 4" xfId="9706"/>
    <cellStyle name="Normal 44 5" xfId="9707"/>
    <cellStyle name="Normal 44 6" xfId="9708"/>
    <cellStyle name="Normal 44 7" xfId="9709"/>
    <cellStyle name="Normal 44 8" xfId="9710"/>
    <cellStyle name="Normal 44 9" xfId="9711"/>
    <cellStyle name="Normal 45" xfId="9712"/>
    <cellStyle name="Normal 45 10" xfId="9713"/>
    <cellStyle name="Normal 45 11" xfId="9714"/>
    <cellStyle name="Normal 45 12" xfId="9715"/>
    <cellStyle name="Normal 45 2" xfId="9716"/>
    <cellStyle name="Normal 45 3" xfId="9717"/>
    <cellStyle name="Normal 45 4" xfId="9718"/>
    <cellStyle name="Normal 45 5" xfId="9719"/>
    <cellStyle name="Normal 45 6" xfId="9720"/>
    <cellStyle name="Normal 45 7" xfId="9721"/>
    <cellStyle name="Normal 45 8" xfId="9722"/>
    <cellStyle name="Normal 45 9" xfId="9723"/>
    <cellStyle name="Normal 46" xfId="9724"/>
    <cellStyle name="Normal 46 10" xfId="9725"/>
    <cellStyle name="Normal 46 11" xfId="9726"/>
    <cellStyle name="Normal 46 12" xfId="9727"/>
    <cellStyle name="Normal 46 2" xfId="9728"/>
    <cellStyle name="Normal 46 3" xfId="9729"/>
    <cellStyle name="Normal 46 4" xfId="9730"/>
    <cellStyle name="Normal 46 5" xfId="9731"/>
    <cellStyle name="Normal 46 6" xfId="9732"/>
    <cellStyle name="Normal 46 7" xfId="9733"/>
    <cellStyle name="Normal 46 8" xfId="9734"/>
    <cellStyle name="Normal 46 9" xfId="9735"/>
    <cellStyle name="Normal 47" xfId="9736"/>
    <cellStyle name="Normal 47 10" xfId="9737"/>
    <cellStyle name="Normal 47 11" xfId="9738"/>
    <cellStyle name="Normal 47 12" xfId="9739"/>
    <cellStyle name="Normal 47 2" xfId="9740"/>
    <cellStyle name="Normal 47 3" xfId="9741"/>
    <cellStyle name="Normal 47 4" xfId="9742"/>
    <cellStyle name="Normal 47 5" xfId="9743"/>
    <cellStyle name="Normal 47 6" xfId="9744"/>
    <cellStyle name="Normal 47 7" xfId="9745"/>
    <cellStyle name="Normal 47 8" xfId="9746"/>
    <cellStyle name="Normal 47 9" xfId="9747"/>
    <cellStyle name="Normal 48" xfId="9748"/>
    <cellStyle name="Normal 48 10" xfId="9749"/>
    <cellStyle name="Normal 48 11" xfId="9750"/>
    <cellStyle name="Normal 48 2" xfId="9751"/>
    <cellStyle name="Normal 48 3" xfId="9752"/>
    <cellStyle name="Normal 48 4" xfId="9753"/>
    <cellStyle name="Normal 48 5" xfId="9754"/>
    <cellStyle name="Normal 48 6" xfId="9755"/>
    <cellStyle name="Normal 48 7" xfId="9756"/>
    <cellStyle name="Normal 48 8" xfId="9757"/>
    <cellStyle name="Normal 48 9" xfId="9758"/>
    <cellStyle name="Normal 49" xfId="9759"/>
    <cellStyle name="Normal 49 10" xfId="9760"/>
    <cellStyle name="Normal 49 11" xfId="9761"/>
    <cellStyle name="Normal 49 12" xfId="9762"/>
    <cellStyle name="Normal 49 2" xfId="9763"/>
    <cellStyle name="Normal 49 3" xfId="9764"/>
    <cellStyle name="Normal 49 4" xfId="9765"/>
    <cellStyle name="Normal 49 5" xfId="9766"/>
    <cellStyle name="Normal 49 6" xfId="9767"/>
    <cellStyle name="Normal 49 7" xfId="9768"/>
    <cellStyle name="Normal 49 8" xfId="9769"/>
    <cellStyle name="Normal 49 9" xfId="9770"/>
    <cellStyle name="Normal 5" xfId="9771"/>
    <cellStyle name="Normal 5 10" xfId="9772"/>
    <cellStyle name="Normal 5 11" xfId="9773"/>
    <cellStyle name="Normal 5 12" xfId="9774"/>
    <cellStyle name="Normal 5 13" xfId="9775"/>
    <cellStyle name="Normal 5 14" xfId="9776"/>
    <cellStyle name="Normal 5 15" xfId="9777"/>
    <cellStyle name="Normal 5 16" xfId="9778"/>
    <cellStyle name="Normal 5 17" xfId="9779"/>
    <cellStyle name="Normal 5 18" xfId="9780"/>
    <cellStyle name="Normal 5 19" xfId="9781"/>
    <cellStyle name="Normal 5 2" xfId="9782"/>
    <cellStyle name="Normal 5 2 2" xfId="9783"/>
    <cellStyle name="Normal 5 2 2 2" xfId="9784"/>
    <cellStyle name="Normal 5 2 2 2 2" xfId="9785"/>
    <cellStyle name="Normal 5 2 2 3" xfId="9786"/>
    <cellStyle name="Normal 5 20" xfId="9787"/>
    <cellStyle name="Normal 5 21" xfId="9788"/>
    <cellStyle name="Normal 5 22" xfId="9789"/>
    <cellStyle name="Normal 5 23" xfId="9790"/>
    <cellStyle name="Normal 5 24" xfId="9791"/>
    <cellStyle name="Normal 5 25" xfId="9792"/>
    <cellStyle name="Normal 5 26" xfId="9793"/>
    <cellStyle name="Normal 5 27" xfId="9794"/>
    <cellStyle name="Normal 5 28" xfId="9795"/>
    <cellStyle name="Normal 5 29" xfId="9796"/>
    <cellStyle name="Normal 5 3" xfId="9797"/>
    <cellStyle name="Normal 5 30" xfId="9798"/>
    <cellStyle name="Normal 5 31" xfId="9799"/>
    <cellStyle name="Normal 5 32" xfId="9800"/>
    <cellStyle name="Normal 5 33" xfId="9801"/>
    <cellStyle name="Normal 5 34" xfId="9802"/>
    <cellStyle name="Normal 5 4" xfId="9803"/>
    <cellStyle name="Normal 5 5" xfId="9804"/>
    <cellStyle name="Normal 5 6" xfId="9805"/>
    <cellStyle name="Normal 5 7" xfId="9806"/>
    <cellStyle name="Normal 5 8" xfId="9807"/>
    <cellStyle name="Normal 5 9" xfId="9808"/>
    <cellStyle name="Normal 50" xfId="9809"/>
    <cellStyle name="Normal 50 10" xfId="9810"/>
    <cellStyle name="Normal 50 11" xfId="9811"/>
    <cellStyle name="Normal 50 12" xfId="9812"/>
    <cellStyle name="Normal 50 2" xfId="9813"/>
    <cellStyle name="Normal 50 3" xfId="9814"/>
    <cellStyle name="Normal 50 4" xfId="9815"/>
    <cellStyle name="Normal 50 5" xfId="9816"/>
    <cellStyle name="Normal 50 6" xfId="9817"/>
    <cellStyle name="Normal 50 7" xfId="9818"/>
    <cellStyle name="Normal 50 8" xfId="9819"/>
    <cellStyle name="Normal 50 9" xfId="9820"/>
    <cellStyle name="Normal 51" xfId="9821"/>
    <cellStyle name="Normal 51 10" xfId="9822"/>
    <cellStyle name="Normal 51 11" xfId="9823"/>
    <cellStyle name="Normal 51 12" xfId="9824"/>
    <cellStyle name="Normal 51 2" xfId="9825"/>
    <cellStyle name="Normal 51 3" xfId="9826"/>
    <cellStyle name="Normal 51 4" xfId="9827"/>
    <cellStyle name="Normal 51 5" xfId="9828"/>
    <cellStyle name="Normal 51 6" xfId="9829"/>
    <cellStyle name="Normal 51 7" xfId="9830"/>
    <cellStyle name="Normal 51 8" xfId="9831"/>
    <cellStyle name="Normal 51 9" xfId="9832"/>
    <cellStyle name="Normal 52" xfId="9833"/>
    <cellStyle name="Normal 52 10" xfId="9834"/>
    <cellStyle name="Normal 52 11" xfId="9835"/>
    <cellStyle name="Normal 52 12" xfId="9836"/>
    <cellStyle name="Normal 52 2" xfId="9837"/>
    <cellStyle name="Normal 52 3" xfId="9838"/>
    <cellStyle name="Normal 52 4" xfId="9839"/>
    <cellStyle name="Normal 52 5" xfId="9840"/>
    <cellStyle name="Normal 52 6" xfId="9841"/>
    <cellStyle name="Normal 52 7" xfId="9842"/>
    <cellStyle name="Normal 52 8" xfId="9843"/>
    <cellStyle name="Normal 52 9" xfId="9844"/>
    <cellStyle name="Normal 53" xfId="9845"/>
    <cellStyle name="Normal 53 10" xfId="9846"/>
    <cellStyle name="Normal 53 11" xfId="9847"/>
    <cellStyle name="Normal 53 12" xfId="9848"/>
    <cellStyle name="Normal 53 2" xfId="9849"/>
    <cellStyle name="Normal 53 3" xfId="9850"/>
    <cellStyle name="Normal 53 4" xfId="9851"/>
    <cellStyle name="Normal 53 5" xfId="9852"/>
    <cellStyle name="Normal 53 6" xfId="9853"/>
    <cellStyle name="Normal 53 7" xfId="9854"/>
    <cellStyle name="Normal 53 8" xfId="9855"/>
    <cellStyle name="Normal 53 9" xfId="9856"/>
    <cellStyle name="Normal 54" xfId="9857"/>
    <cellStyle name="Normal 54 10" xfId="9858"/>
    <cellStyle name="Normal 54 2" xfId="9859"/>
    <cellStyle name="Normal 54 3" xfId="9860"/>
    <cellStyle name="Normal 54 4" xfId="9861"/>
    <cellStyle name="Normal 54 5" xfId="9862"/>
    <cellStyle name="Normal 54 6" xfId="9863"/>
    <cellStyle name="Normal 54 7" xfId="9864"/>
    <cellStyle name="Normal 54 8" xfId="9865"/>
    <cellStyle name="Normal 54 9" xfId="9866"/>
    <cellStyle name="Normal 55" xfId="9867"/>
    <cellStyle name="Normal 55 10" xfId="9868"/>
    <cellStyle name="Normal 55 2" xfId="9869"/>
    <cellStyle name="Normal 55 3" xfId="9870"/>
    <cellStyle name="Normal 55 4" xfId="9871"/>
    <cellStyle name="Normal 55 5" xfId="9872"/>
    <cellStyle name="Normal 55 6" xfId="9873"/>
    <cellStyle name="Normal 55 7" xfId="9874"/>
    <cellStyle name="Normal 55 8" xfId="9875"/>
    <cellStyle name="Normal 55 9" xfId="9876"/>
    <cellStyle name="Normal 56" xfId="9877"/>
    <cellStyle name="Normal 56 2" xfId="9878"/>
    <cellStyle name="Normal 56 3" xfId="9879"/>
    <cellStyle name="Normal 56 4" xfId="9880"/>
    <cellStyle name="Normal 56 5" xfId="9881"/>
    <cellStyle name="Normal 56 6" xfId="9882"/>
    <cellStyle name="Normal 56 7" xfId="9883"/>
    <cellStyle name="Normal 56 8" xfId="9884"/>
    <cellStyle name="Normal 56 9" xfId="9885"/>
    <cellStyle name="Normal 57" xfId="9886"/>
    <cellStyle name="Normal 57 10" xfId="9887"/>
    <cellStyle name="Normal 57 11" xfId="9888"/>
    <cellStyle name="Normal 57 2" xfId="9889"/>
    <cellStyle name="Normal 57 3" xfId="9890"/>
    <cellStyle name="Normal 57 4" xfId="9891"/>
    <cellStyle name="Normal 57 5" xfId="9892"/>
    <cellStyle name="Normal 57 6" xfId="9893"/>
    <cellStyle name="Normal 57 7" xfId="9894"/>
    <cellStyle name="Normal 57 8" xfId="9895"/>
    <cellStyle name="Normal 57 9" xfId="9896"/>
    <cellStyle name="Normal 58" xfId="9897"/>
    <cellStyle name="Normal 58 10" xfId="9898"/>
    <cellStyle name="Normal 58 11" xfId="9899"/>
    <cellStyle name="Normal 58 2" xfId="9900"/>
    <cellStyle name="Normal 58 3" xfId="9901"/>
    <cellStyle name="Normal 58 4" xfId="9902"/>
    <cellStyle name="Normal 58 5" xfId="9903"/>
    <cellStyle name="Normal 58 6" xfId="9904"/>
    <cellStyle name="Normal 58 7" xfId="9905"/>
    <cellStyle name="Normal 58 8" xfId="9906"/>
    <cellStyle name="Normal 58 9" xfId="9907"/>
    <cellStyle name="Normal 59" xfId="9908"/>
    <cellStyle name="Normal 59 2" xfId="9909"/>
    <cellStyle name="Normal 59 3" xfId="9910"/>
    <cellStyle name="Normal 6" xfId="9911"/>
    <cellStyle name="Normal 6 10" xfId="9912"/>
    <cellStyle name="Normal 6 11" xfId="9913"/>
    <cellStyle name="Normal 6 12" xfId="9914"/>
    <cellStyle name="Normal 6 13" xfId="9915"/>
    <cellStyle name="Normal 6 14" xfId="9916"/>
    <cellStyle name="Normal 6 15" xfId="9917"/>
    <cellStyle name="Normal 6 16" xfId="9918"/>
    <cellStyle name="Normal 6 17" xfId="9919"/>
    <cellStyle name="Normal 6 18" xfId="9920"/>
    <cellStyle name="Normal 6 19" xfId="9921"/>
    <cellStyle name="Normal 6 2" xfId="9922"/>
    <cellStyle name="Normal 6 2 2" xfId="9923"/>
    <cellStyle name="Normal 6 2 2 2" xfId="9924"/>
    <cellStyle name="Normal 6 2 2 2 2" xfId="9925"/>
    <cellStyle name="Normal 6 2 2 3" xfId="9926"/>
    <cellStyle name="Normal 6 20" xfId="9927"/>
    <cellStyle name="Normal 6 21" xfId="9928"/>
    <cellStyle name="Normal 6 22" xfId="9929"/>
    <cellStyle name="Normal 6 23" xfId="9930"/>
    <cellStyle name="Normal 6 24" xfId="9931"/>
    <cellStyle name="Normal 6 25" xfId="9932"/>
    <cellStyle name="Normal 6 26" xfId="9933"/>
    <cellStyle name="Normal 6 27" xfId="9934"/>
    <cellStyle name="Normal 6 28" xfId="9935"/>
    <cellStyle name="Normal 6 29" xfId="9936"/>
    <cellStyle name="Normal 6 3" xfId="9937"/>
    <cellStyle name="Normal 6 30" xfId="9938"/>
    <cellStyle name="Normal 6 31" xfId="9939"/>
    <cellStyle name="Normal 6 32" xfId="9940"/>
    <cellStyle name="Normal 6 33" xfId="9941"/>
    <cellStyle name="Normal 6 34" xfId="9942"/>
    <cellStyle name="Normal 6 35" xfId="9943"/>
    <cellStyle name="Normal 6 36" xfId="9944"/>
    <cellStyle name="Normal 6 37" xfId="9945"/>
    <cellStyle name="Normal 6 38" xfId="9946"/>
    <cellStyle name="Normal 6 39" xfId="9947"/>
    <cellStyle name="Normal 6 4" xfId="9948"/>
    <cellStyle name="Normal 6 40" xfId="9949"/>
    <cellStyle name="Normal 6 41" xfId="9950"/>
    <cellStyle name="Normal 6 42" xfId="9951"/>
    <cellStyle name="Normal 6 43" xfId="9952"/>
    <cellStyle name="Normal 6 44" xfId="9953"/>
    <cellStyle name="Normal 6 45" xfId="9954"/>
    <cellStyle name="Normal 6 46" xfId="9955"/>
    <cellStyle name="Normal 6 47" xfId="9956"/>
    <cellStyle name="Normal 6 48" xfId="9957"/>
    <cellStyle name="Normal 6 49" xfId="9958"/>
    <cellStyle name="Normal 6 5" xfId="9959"/>
    <cellStyle name="Normal 6 50" xfId="9960"/>
    <cellStyle name="Normal 6 51" xfId="9961"/>
    <cellStyle name="Normal 6 52" xfId="9962"/>
    <cellStyle name="Normal 6 53" xfId="9963"/>
    <cellStyle name="Normal 6 54" xfId="9964"/>
    <cellStyle name="Normal 6 55" xfId="9965"/>
    <cellStyle name="Normal 6 56" xfId="9966"/>
    <cellStyle name="Normal 6 57" xfId="9967"/>
    <cellStyle name="Normal 6 58" xfId="9968"/>
    <cellStyle name="Normal 6 6" xfId="9969"/>
    <cellStyle name="Normal 6 7" xfId="9970"/>
    <cellStyle name="Normal 6 8" xfId="9971"/>
    <cellStyle name="Normal 6 9" xfId="9972"/>
    <cellStyle name="Normal 60" xfId="9973"/>
    <cellStyle name="Normal 60 2" xfId="9974"/>
    <cellStyle name="Normal 60 3" xfId="9975"/>
    <cellStyle name="Normal 61" xfId="9976"/>
    <cellStyle name="Normal 62" xfId="9977"/>
    <cellStyle name="Normal 63" xfId="9978"/>
    <cellStyle name="Normal 64" xfId="9979"/>
    <cellStyle name="Normal 65" xfId="9980"/>
    <cellStyle name="Normal 66" xfId="9981"/>
    <cellStyle name="Normal 67" xfId="9982"/>
    <cellStyle name="Normal 68" xfId="9983"/>
    <cellStyle name="Normal 69" xfId="9984"/>
    <cellStyle name="Normal 7" xfId="9985"/>
    <cellStyle name="Normal 7 10" xfId="9986"/>
    <cellStyle name="Normal 7 11" xfId="9987"/>
    <cellStyle name="Normal 7 12" xfId="9988"/>
    <cellStyle name="Normal 7 13" xfId="9989"/>
    <cellStyle name="Normal 7 14" xfId="9990"/>
    <cellStyle name="Normal 7 15" xfId="9991"/>
    <cellStyle name="Normal 7 16" xfId="9992"/>
    <cellStyle name="Normal 7 17" xfId="9993"/>
    <cellStyle name="Normal 7 18" xfId="9994"/>
    <cellStyle name="Normal 7 19" xfId="9995"/>
    <cellStyle name="Normal 7 2" xfId="9996"/>
    <cellStyle name="Normal 7 2 2" xfId="9997"/>
    <cellStyle name="Normal 7 2 2 2" xfId="9998"/>
    <cellStyle name="Normal 7 2 2 2 2" xfId="9999"/>
    <cellStyle name="Normal 7 2 2 3" xfId="10000"/>
    <cellStyle name="Normal 7 20" xfId="10001"/>
    <cellStyle name="Normal 7 21" xfId="10002"/>
    <cellStyle name="Normal 7 22" xfId="10003"/>
    <cellStyle name="Normal 7 23" xfId="10004"/>
    <cellStyle name="Normal 7 24" xfId="10005"/>
    <cellStyle name="Normal 7 25" xfId="10006"/>
    <cellStyle name="Normal 7 26" xfId="10007"/>
    <cellStyle name="Normal 7 27" xfId="10008"/>
    <cellStyle name="Normal 7 28" xfId="10009"/>
    <cellStyle name="Normal 7 29" xfId="10010"/>
    <cellStyle name="Normal 7 3" xfId="10011"/>
    <cellStyle name="Normal 7 30" xfId="10012"/>
    <cellStyle name="Normal 7 31" xfId="10013"/>
    <cellStyle name="Normal 7 32" xfId="10014"/>
    <cellStyle name="Normal 7 33" xfId="10015"/>
    <cellStyle name="Normal 7 34" xfId="10016"/>
    <cellStyle name="Normal 7 35" xfId="10017"/>
    <cellStyle name="Normal 7 36" xfId="10018"/>
    <cellStyle name="Normal 7 37" xfId="10019"/>
    <cellStyle name="Normal 7 38" xfId="10020"/>
    <cellStyle name="Normal 7 39" xfId="10021"/>
    <cellStyle name="Normal 7 4" xfId="10022"/>
    <cellStyle name="Normal 7 40" xfId="10023"/>
    <cellStyle name="Normal 7 41" xfId="10024"/>
    <cellStyle name="Normal 7 42" xfId="10025"/>
    <cellStyle name="Normal 7 43" xfId="10026"/>
    <cellStyle name="Normal 7 44" xfId="10027"/>
    <cellStyle name="Normal 7 45" xfId="10028"/>
    <cellStyle name="Normal 7 46" xfId="10029"/>
    <cellStyle name="Normal 7 47" xfId="10030"/>
    <cellStyle name="Normal 7 48" xfId="10031"/>
    <cellStyle name="Normal 7 49" xfId="10032"/>
    <cellStyle name="Normal 7 5" xfId="10033"/>
    <cellStyle name="Normal 7 50" xfId="10034"/>
    <cellStyle name="Normal 7 51" xfId="10035"/>
    <cellStyle name="Normal 7 52" xfId="10036"/>
    <cellStyle name="Normal 7 53" xfId="10037"/>
    <cellStyle name="Normal 7 54" xfId="10038"/>
    <cellStyle name="Normal 7 55" xfId="10039"/>
    <cellStyle name="Normal 7 56" xfId="10040"/>
    <cellStyle name="Normal 7 57" xfId="10041"/>
    <cellStyle name="Normal 7 58" xfId="10042"/>
    <cellStyle name="Normal 7 59" xfId="10043"/>
    <cellStyle name="Normal 7 6" xfId="10044"/>
    <cellStyle name="Normal 7 7" xfId="10045"/>
    <cellStyle name="Normal 7 8" xfId="10046"/>
    <cellStyle name="Normal 7 9" xfId="10047"/>
    <cellStyle name="Normal 70" xfId="10048"/>
    <cellStyle name="Normal 71" xfId="10049"/>
    <cellStyle name="Normal 72" xfId="10050"/>
    <cellStyle name="Normal 73" xfId="10051"/>
    <cellStyle name="Normal 74" xfId="10052"/>
    <cellStyle name="Normal 74 2" xfId="10053"/>
    <cellStyle name="Normal 75" xfId="10054"/>
    <cellStyle name="Normal 75 2" xfId="10055"/>
    <cellStyle name="Normal 76" xfId="10056"/>
    <cellStyle name="Normal 76 2" xfId="10057"/>
    <cellStyle name="Normal 77" xfId="10058"/>
    <cellStyle name="Normal 77 2" xfId="10059"/>
    <cellStyle name="Normal 78" xfId="10060"/>
    <cellStyle name="Normal 78 2" xfId="10061"/>
    <cellStyle name="Normal 79" xfId="10062"/>
    <cellStyle name="Normal 79 2" xfId="10063"/>
    <cellStyle name="Normal 8" xfId="10064"/>
    <cellStyle name="Normal 8 10" xfId="10065"/>
    <cellStyle name="Normal 8 11" xfId="10066"/>
    <cellStyle name="Normal 8 12" xfId="10067"/>
    <cellStyle name="Normal 8 13" xfId="10068"/>
    <cellStyle name="Normal 8 14" xfId="10069"/>
    <cellStyle name="Normal 8 15" xfId="10070"/>
    <cellStyle name="Normal 8 16" xfId="10071"/>
    <cellStyle name="Normal 8 17" xfId="10072"/>
    <cellStyle name="Normal 8 18" xfId="10073"/>
    <cellStyle name="Normal 8 18 2" xfId="10074"/>
    <cellStyle name="Normal 8 18 2 2" xfId="10075"/>
    <cellStyle name="Normal 8 18 3" xfId="10076"/>
    <cellStyle name="Normal 8 18 3 2" xfId="10077"/>
    <cellStyle name="Normal 8 18 4" xfId="10078"/>
    <cellStyle name="Normal 8 19" xfId="10079"/>
    <cellStyle name="Normal 8 2" xfId="10080"/>
    <cellStyle name="Normal 8 2 10" xfId="10081"/>
    <cellStyle name="Normal 8 2 2" xfId="10082"/>
    <cellStyle name="Normal 8 2 2 2" xfId="10083"/>
    <cellStyle name="Normal 8 2 2 2 2" xfId="10084"/>
    <cellStyle name="Normal 8 2 2 2 2 2" xfId="10085"/>
    <cellStyle name="Normal 8 2 2 2 3" xfId="10086"/>
    <cellStyle name="Normal 8 2 2 2 3 2" xfId="10087"/>
    <cellStyle name="Normal 8 2 2 2 4" xfId="10088"/>
    <cellStyle name="Normal 8 2 2 3" xfId="10089"/>
    <cellStyle name="Normal 8 2 2 3 2" xfId="10090"/>
    <cellStyle name="Normal 8 2 2 3 2 2" xfId="10091"/>
    <cellStyle name="Normal 8 2 2 3 3" xfId="10092"/>
    <cellStyle name="Normal 8 2 2 3 3 2" xfId="10093"/>
    <cellStyle name="Normal 8 2 2 3 4" xfId="10094"/>
    <cellStyle name="Normal 8 2 2 4" xfId="10095"/>
    <cellStyle name="Normal 8 2 2 4 2" xfId="10096"/>
    <cellStyle name="Normal 8 2 2 4 2 2" xfId="10097"/>
    <cellStyle name="Normal 8 2 2 4 3" xfId="10098"/>
    <cellStyle name="Normal 8 2 2 4 3 2" xfId="10099"/>
    <cellStyle name="Normal 8 2 2 4 4" xfId="10100"/>
    <cellStyle name="Normal 8 2 2 5" xfId="10101"/>
    <cellStyle name="Normal 8 2 2 5 2" xfId="10102"/>
    <cellStyle name="Normal 8 2 2 6" xfId="10103"/>
    <cellStyle name="Normal 8 2 2 6 2" xfId="10104"/>
    <cellStyle name="Normal 8 2 2 7" xfId="10105"/>
    <cellStyle name="Normal 8 2 3" xfId="10106"/>
    <cellStyle name="Normal 8 2 3 2" xfId="10107"/>
    <cellStyle name="Normal 8 2 3 3" xfId="10108"/>
    <cellStyle name="Normal 8 2 3 3 2" xfId="10109"/>
    <cellStyle name="Normal 8 2 3 4" xfId="10110"/>
    <cellStyle name="Normal 8 2 3 4 2" xfId="10111"/>
    <cellStyle name="Normal 8 2 3 5" xfId="10112"/>
    <cellStyle name="Normal 8 2 4" xfId="10113"/>
    <cellStyle name="Normal 8 2 4 2" xfId="10114"/>
    <cellStyle name="Normal 8 2 4 2 2" xfId="10115"/>
    <cellStyle name="Normal 8 2 4 3" xfId="10116"/>
    <cellStyle name="Normal 8 2 4 3 2" xfId="10117"/>
    <cellStyle name="Normal 8 2 4 4" xfId="10118"/>
    <cellStyle name="Normal 8 2 5" xfId="10119"/>
    <cellStyle name="Normal 8 2 5 2" xfId="10120"/>
    <cellStyle name="Normal 8 2 5 2 2" xfId="10121"/>
    <cellStyle name="Normal 8 2 5 3" xfId="10122"/>
    <cellStyle name="Normal 8 2 5 3 2" xfId="10123"/>
    <cellStyle name="Normal 8 2 5 4" xfId="10124"/>
    <cellStyle name="Normal 8 2 6" xfId="10125"/>
    <cellStyle name="Normal 8 2 6 2" xfId="10126"/>
    <cellStyle name="Normal 8 2 7" xfId="10127"/>
    <cellStyle name="Normal 8 2 7 2" xfId="10128"/>
    <cellStyle name="Normal 8 2 8" xfId="10129"/>
    <cellStyle name="Normal 8 2 8 2" xfId="10130"/>
    <cellStyle name="Normal 8 2 9" xfId="10131"/>
    <cellStyle name="Normal 8 20" xfId="10132"/>
    <cellStyle name="Normal 8 20 2" xfId="10133"/>
    <cellStyle name="Normal 8 21" xfId="10134"/>
    <cellStyle name="Normal 8 22" xfId="10135"/>
    <cellStyle name="Normal 8 23" xfId="10136"/>
    <cellStyle name="Normal 8 3" xfId="10137"/>
    <cellStyle name="Normal 8 3 10" xfId="10138"/>
    <cellStyle name="Normal 8 3 2" xfId="10139"/>
    <cellStyle name="Normal 8 3 2 2" xfId="10140"/>
    <cellStyle name="Normal 8 3 2 2 2" xfId="10141"/>
    <cellStyle name="Normal 8 3 2 2 2 2" xfId="10142"/>
    <cellStyle name="Normal 8 3 2 2 3" xfId="10143"/>
    <cellStyle name="Normal 8 3 2 2 3 2" xfId="10144"/>
    <cellStyle name="Normal 8 3 2 2 4" xfId="10145"/>
    <cellStyle name="Normal 8 3 2 3" xfId="10146"/>
    <cellStyle name="Normal 8 3 2 3 2" xfId="10147"/>
    <cellStyle name="Normal 8 3 2 3 2 2" xfId="10148"/>
    <cellStyle name="Normal 8 3 2 3 3" xfId="10149"/>
    <cellStyle name="Normal 8 3 2 3 3 2" xfId="10150"/>
    <cellStyle name="Normal 8 3 2 3 4" xfId="10151"/>
    <cellStyle name="Normal 8 3 2 4" xfId="10152"/>
    <cellStyle name="Normal 8 3 2 4 2" xfId="10153"/>
    <cellStyle name="Normal 8 3 2 4 2 2" xfId="10154"/>
    <cellStyle name="Normal 8 3 2 4 3" xfId="10155"/>
    <cellStyle name="Normal 8 3 2 4 3 2" xfId="10156"/>
    <cellStyle name="Normal 8 3 2 4 4" xfId="10157"/>
    <cellStyle name="Normal 8 3 2 5" xfId="10158"/>
    <cellStyle name="Normal 8 3 2 5 2" xfId="10159"/>
    <cellStyle name="Normal 8 3 2 6" xfId="10160"/>
    <cellStyle name="Normal 8 3 2 6 2" xfId="10161"/>
    <cellStyle name="Normal 8 3 2 7" xfId="10162"/>
    <cellStyle name="Normal 8 3 3" xfId="10163"/>
    <cellStyle name="Normal 8 3 3 2" xfId="10164"/>
    <cellStyle name="Normal 8 3 3 3" xfId="10165"/>
    <cellStyle name="Normal 8 3 3 3 2" xfId="10166"/>
    <cellStyle name="Normal 8 3 3 4" xfId="10167"/>
    <cellStyle name="Normal 8 3 3 4 2" xfId="10168"/>
    <cellStyle name="Normal 8 3 3 5" xfId="10169"/>
    <cellStyle name="Normal 8 3 4" xfId="10170"/>
    <cellStyle name="Normal 8 3 4 2" xfId="10171"/>
    <cellStyle name="Normal 8 3 4 2 2" xfId="10172"/>
    <cellStyle name="Normal 8 3 4 3" xfId="10173"/>
    <cellStyle name="Normal 8 3 4 3 2" xfId="10174"/>
    <cellStyle name="Normal 8 3 4 4" xfId="10175"/>
    <cellStyle name="Normal 8 3 5" xfId="10176"/>
    <cellStyle name="Normal 8 3 5 2" xfId="10177"/>
    <cellStyle name="Normal 8 3 5 2 2" xfId="10178"/>
    <cellStyle name="Normal 8 3 5 3" xfId="10179"/>
    <cellStyle name="Normal 8 3 5 3 2" xfId="10180"/>
    <cellStyle name="Normal 8 3 5 4" xfId="10181"/>
    <cellStyle name="Normal 8 3 6" xfId="10182"/>
    <cellStyle name="Normal 8 3 6 2" xfId="10183"/>
    <cellStyle name="Normal 8 3 7" xfId="10184"/>
    <cellStyle name="Normal 8 3 7 2" xfId="10185"/>
    <cellStyle name="Normal 8 3 8" xfId="10186"/>
    <cellStyle name="Normal 8 3 8 2" xfId="10187"/>
    <cellStyle name="Normal 8 3 9" xfId="10188"/>
    <cellStyle name="Normal 8 4" xfId="10189"/>
    <cellStyle name="Normal 8 4 2" xfId="10190"/>
    <cellStyle name="Normal 8 4 2 2" xfId="10191"/>
    <cellStyle name="Normal 8 4 2 3" xfId="10192"/>
    <cellStyle name="Normal 8 4 2 3 2" xfId="10193"/>
    <cellStyle name="Normal 8 4 2 4" xfId="10194"/>
    <cellStyle name="Normal 8 4 2 4 2" xfId="10195"/>
    <cellStyle name="Normal 8 4 2 5" xfId="10196"/>
    <cellStyle name="Normal 8 4 3" xfId="10197"/>
    <cellStyle name="Normal 8 4 3 2" xfId="10198"/>
    <cellStyle name="Normal 8 4 3 2 2" xfId="10199"/>
    <cellStyle name="Normal 8 4 3 3" xfId="10200"/>
    <cellStyle name="Normal 8 4 3 3 2" xfId="10201"/>
    <cellStyle name="Normal 8 4 3 4" xfId="10202"/>
    <cellStyle name="Normal 8 4 4" xfId="10203"/>
    <cellStyle name="Normal 8 4 4 2" xfId="10204"/>
    <cellStyle name="Normal 8 4 4 2 2" xfId="10205"/>
    <cellStyle name="Normal 8 4 4 3" xfId="10206"/>
    <cellStyle name="Normal 8 4 4 3 2" xfId="10207"/>
    <cellStyle name="Normal 8 4 4 4" xfId="10208"/>
    <cellStyle name="Normal 8 4 5" xfId="10209"/>
    <cellStyle name="Normal 8 4 5 2" xfId="10210"/>
    <cellStyle name="Normal 8 4 6" xfId="10211"/>
    <cellStyle name="Normal 8 4 6 2" xfId="10212"/>
    <cellStyle name="Normal 8 4 7" xfId="10213"/>
    <cellStyle name="Normal 8 5" xfId="10214"/>
    <cellStyle name="Normal 8 5 2" xfId="10215"/>
    <cellStyle name="Normal 8 5 3" xfId="10216"/>
    <cellStyle name="Normal 8 5 3 2" xfId="10217"/>
    <cellStyle name="Normal 8 5 4" xfId="10218"/>
    <cellStyle name="Normal 8 5 4 2" xfId="10219"/>
    <cellStyle name="Normal 8 5 5" xfId="10220"/>
    <cellStyle name="Normal 8 6" xfId="10221"/>
    <cellStyle name="Normal 8 6 2" xfId="10222"/>
    <cellStyle name="Normal 8 6 3" xfId="10223"/>
    <cellStyle name="Normal 8 6 3 2" xfId="10224"/>
    <cellStyle name="Normal 8 6 4" xfId="10225"/>
    <cellStyle name="Normal 8 6 4 2" xfId="10226"/>
    <cellStyle name="Normal 8 6 5" xfId="10227"/>
    <cellStyle name="Normal 8 7" xfId="10228"/>
    <cellStyle name="Normal 8 8" xfId="10229"/>
    <cellStyle name="Normal 8 9" xfId="10230"/>
    <cellStyle name="Normal 80" xfId="10231"/>
    <cellStyle name="Normal 81" xfId="10232"/>
    <cellStyle name="Normal 82" xfId="10233"/>
    <cellStyle name="Normal 83" xfId="10234"/>
    <cellStyle name="Normal 84" xfId="10235"/>
    <cellStyle name="Normal 85" xfId="10236"/>
    <cellStyle name="Normal 86" xfId="10237"/>
    <cellStyle name="Normal 87" xfId="10238"/>
    <cellStyle name="Normal 88" xfId="10239"/>
    <cellStyle name="Normal 89" xfId="10240"/>
    <cellStyle name="Normal 9" xfId="10241"/>
    <cellStyle name="Normal 9 10" xfId="10242"/>
    <cellStyle name="Normal 9 11" xfId="10243"/>
    <cellStyle name="Normal 9 12" xfId="10244"/>
    <cellStyle name="Normal 9 13" xfId="10245"/>
    <cellStyle name="Normal 9 14" xfId="10246"/>
    <cellStyle name="Normal 9 15" xfId="10247"/>
    <cellStyle name="Normal 9 16" xfId="10248"/>
    <cellStyle name="Normal 9 17" xfId="10249"/>
    <cellStyle name="Normal 9 18" xfId="10250"/>
    <cellStyle name="Normal 9 18 2" xfId="10251"/>
    <cellStyle name="Normal 9 18 2 2" xfId="10252"/>
    <cellStyle name="Normal 9 18 3" xfId="10253"/>
    <cellStyle name="Normal 9 18 3 2" xfId="10254"/>
    <cellStyle name="Normal 9 18 4" xfId="10255"/>
    <cellStyle name="Normal 9 19" xfId="10256"/>
    <cellStyle name="Normal 9 2" xfId="10257"/>
    <cellStyle name="Normal 9 2 10" xfId="10258"/>
    <cellStyle name="Normal 9 2 2" xfId="10259"/>
    <cellStyle name="Normal 9 2 2 2" xfId="10260"/>
    <cellStyle name="Normal 9 2 2 2 2" xfId="10261"/>
    <cellStyle name="Normal 9 2 2 2 2 2" xfId="10262"/>
    <cellStyle name="Normal 9 2 2 2 3" xfId="10263"/>
    <cellStyle name="Normal 9 2 2 2 3 2" xfId="10264"/>
    <cellStyle name="Normal 9 2 2 2 4" xfId="10265"/>
    <cellStyle name="Normal 9 2 2 3" xfId="10266"/>
    <cellStyle name="Normal 9 2 2 3 2" xfId="10267"/>
    <cellStyle name="Normal 9 2 2 3 2 2" xfId="10268"/>
    <cellStyle name="Normal 9 2 2 3 3" xfId="10269"/>
    <cellStyle name="Normal 9 2 2 3 3 2" xfId="10270"/>
    <cellStyle name="Normal 9 2 2 3 4" xfId="10271"/>
    <cellStyle name="Normal 9 2 2 4" xfId="10272"/>
    <cellStyle name="Normal 9 2 2 4 2" xfId="10273"/>
    <cellStyle name="Normal 9 2 2 4 2 2" xfId="10274"/>
    <cellStyle name="Normal 9 2 2 4 3" xfId="10275"/>
    <cellStyle name="Normal 9 2 2 4 3 2" xfId="10276"/>
    <cellStyle name="Normal 9 2 2 4 4" xfId="10277"/>
    <cellStyle name="Normal 9 2 2 5" xfId="10278"/>
    <cellStyle name="Normal 9 2 2 5 2" xfId="10279"/>
    <cellStyle name="Normal 9 2 2 6" xfId="10280"/>
    <cellStyle name="Normal 9 2 2 6 2" xfId="10281"/>
    <cellStyle name="Normal 9 2 2 7" xfId="10282"/>
    <cellStyle name="Normal 9 2 3" xfId="10283"/>
    <cellStyle name="Normal 9 2 3 2" xfId="10284"/>
    <cellStyle name="Normal 9 2 3 3" xfId="10285"/>
    <cellStyle name="Normal 9 2 3 3 2" xfId="10286"/>
    <cellStyle name="Normal 9 2 3 4" xfId="10287"/>
    <cellStyle name="Normal 9 2 3 4 2" xfId="10288"/>
    <cellStyle name="Normal 9 2 3 5" xfId="10289"/>
    <cellStyle name="Normal 9 2 4" xfId="10290"/>
    <cellStyle name="Normal 9 2 4 2" xfId="10291"/>
    <cellStyle name="Normal 9 2 4 2 2" xfId="10292"/>
    <cellStyle name="Normal 9 2 4 3" xfId="10293"/>
    <cellStyle name="Normal 9 2 4 3 2" xfId="10294"/>
    <cellStyle name="Normal 9 2 4 4" xfId="10295"/>
    <cellStyle name="Normal 9 2 5" xfId="10296"/>
    <cellStyle name="Normal 9 2 5 2" xfId="10297"/>
    <cellStyle name="Normal 9 2 5 2 2" xfId="10298"/>
    <cellStyle name="Normal 9 2 5 3" xfId="10299"/>
    <cellStyle name="Normal 9 2 5 3 2" xfId="10300"/>
    <cellStyle name="Normal 9 2 5 4" xfId="10301"/>
    <cellStyle name="Normal 9 2 6" xfId="10302"/>
    <cellStyle name="Normal 9 2 6 2" xfId="10303"/>
    <cellStyle name="Normal 9 2 7" xfId="10304"/>
    <cellStyle name="Normal 9 2 7 2" xfId="10305"/>
    <cellStyle name="Normal 9 2 8" xfId="10306"/>
    <cellStyle name="Normal 9 2 8 2" xfId="10307"/>
    <cellStyle name="Normal 9 2 9" xfId="10308"/>
    <cellStyle name="Normal 9 20" xfId="10309"/>
    <cellStyle name="Normal 9 20 2" xfId="10310"/>
    <cellStyle name="Normal 9 21" xfId="10311"/>
    <cellStyle name="Normal 9 22" xfId="10312"/>
    <cellStyle name="Normal 9 3" xfId="10313"/>
    <cellStyle name="Normal 9 3 10" xfId="10314"/>
    <cellStyle name="Normal 9 3 2" xfId="10315"/>
    <cellStyle name="Normal 9 3 2 2" xfId="10316"/>
    <cellStyle name="Normal 9 3 2 2 2" xfId="10317"/>
    <cellStyle name="Normal 9 3 2 2 2 2" xfId="10318"/>
    <cellStyle name="Normal 9 3 2 2 3" xfId="10319"/>
    <cellStyle name="Normal 9 3 2 2 3 2" xfId="10320"/>
    <cellStyle name="Normal 9 3 2 2 4" xfId="10321"/>
    <cellStyle name="Normal 9 3 2 3" xfId="10322"/>
    <cellStyle name="Normal 9 3 2 3 2" xfId="10323"/>
    <cellStyle name="Normal 9 3 2 3 2 2" xfId="10324"/>
    <cellStyle name="Normal 9 3 2 3 3" xfId="10325"/>
    <cellStyle name="Normal 9 3 2 3 3 2" xfId="10326"/>
    <cellStyle name="Normal 9 3 2 3 4" xfId="10327"/>
    <cellStyle name="Normal 9 3 2 4" xfId="10328"/>
    <cellStyle name="Normal 9 3 2 4 2" xfId="10329"/>
    <cellStyle name="Normal 9 3 2 4 2 2" xfId="10330"/>
    <cellStyle name="Normal 9 3 2 4 3" xfId="10331"/>
    <cellStyle name="Normal 9 3 2 4 3 2" xfId="10332"/>
    <cellStyle name="Normal 9 3 2 4 4" xfId="10333"/>
    <cellStyle name="Normal 9 3 2 5" xfId="10334"/>
    <cellStyle name="Normal 9 3 2 5 2" xfId="10335"/>
    <cellStyle name="Normal 9 3 2 6" xfId="10336"/>
    <cellStyle name="Normal 9 3 2 6 2" xfId="10337"/>
    <cellStyle name="Normal 9 3 2 7" xfId="10338"/>
    <cellStyle name="Normal 9 3 3" xfId="10339"/>
    <cellStyle name="Normal 9 3 3 2" xfId="10340"/>
    <cellStyle name="Normal 9 3 3 3" xfId="10341"/>
    <cellStyle name="Normal 9 3 3 3 2" xfId="10342"/>
    <cellStyle name="Normal 9 3 3 4" xfId="10343"/>
    <cellStyle name="Normal 9 3 3 4 2" xfId="10344"/>
    <cellStyle name="Normal 9 3 3 5" xfId="10345"/>
    <cellStyle name="Normal 9 3 4" xfId="10346"/>
    <cellStyle name="Normal 9 3 4 2" xfId="10347"/>
    <cellStyle name="Normal 9 3 4 2 2" xfId="10348"/>
    <cellStyle name="Normal 9 3 4 3" xfId="10349"/>
    <cellStyle name="Normal 9 3 4 3 2" xfId="10350"/>
    <cellStyle name="Normal 9 3 4 4" xfId="10351"/>
    <cellStyle name="Normal 9 3 5" xfId="10352"/>
    <cellStyle name="Normal 9 3 5 2" xfId="10353"/>
    <cellStyle name="Normal 9 3 5 2 2" xfId="10354"/>
    <cellStyle name="Normal 9 3 5 3" xfId="10355"/>
    <cellStyle name="Normal 9 3 5 3 2" xfId="10356"/>
    <cellStyle name="Normal 9 3 5 4" xfId="10357"/>
    <cellStyle name="Normal 9 3 6" xfId="10358"/>
    <cellStyle name="Normal 9 3 6 2" xfId="10359"/>
    <cellStyle name="Normal 9 3 7" xfId="10360"/>
    <cellStyle name="Normal 9 3 7 2" xfId="10361"/>
    <cellStyle name="Normal 9 3 8" xfId="10362"/>
    <cellStyle name="Normal 9 3 8 2" xfId="10363"/>
    <cellStyle name="Normal 9 3 9" xfId="10364"/>
    <cellStyle name="Normal 9 4" xfId="10365"/>
    <cellStyle name="Normal 9 4 2" xfId="10366"/>
    <cellStyle name="Normal 9 4 2 2" xfId="10367"/>
    <cellStyle name="Normal 9 4 2 3" xfId="10368"/>
    <cellStyle name="Normal 9 4 2 3 2" xfId="10369"/>
    <cellStyle name="Normal 9 4 2 4" xfId="10370"/>
    <cellStyle name="Normal 9 4 2 4 2" xfId="10371"/>
    <cellStyle name="Normal 9 4 2 5" xfId="10372"/>
    <cellStyle name="Normal 9 4 3" xfId="10373"/>
    <cellStyle name="Normal 9 4 3 2" xfId="10374"/>
    <cellStyle name="Normal 9 4 3 2 2" xfId="10375"/>
    <cellStyle name="Normal 9 4 3 3" xfId="10376"/>
    <cellStyle name="Normal 9 4 3 3 2" xfId="10377"/>
    <cellStyle name="Normal 9 4 3 4" xfId="10378"/>
    <cellStyle name="Normal 9 4 4" xfId="10379"/>
    <cellStyle name="Normal 9 4 4 2" xfId="10380"/>
    <cellStyle name="Normal 9 4 4 2 2" xfId="10381"/>
    <cellStyle name="Normal 9 4 4 3" xfId="10382"/>
    <cellStyle name="Normal 9 4 4 3 2" xfId="10383"/>
    <cellStyle name="Normal 9 4 4 4" xfId="10384"/>
    <cellStyle name="Normal 9 4 5" xfId="10385"/>
    <cellStyle name="Normal 9 4 5 2" xfId="10386"/>
    <cellStyle name="Normal 9 4 6" xfId="10387"/>
    <cellStyle name="Normal 9 4 6 2" xfId="10388"/>
    <cellStyle name="Normal 9 4 7" xfId="10389"/>
    <cellStyle name="Normal 9 5" xfId="10390"/>
    <cellStyle name="Normal 9 5 2" xfId="10391"/>
    <cellStyle name="Normal 9 5 3" xfId="10392"/>
    <cellStyle name="Normal 9 5 3 2" xfId="10393"/>
    <cellStyle name="Normal 9 5 4" xfId="10394"/>
    <cellStyle name="Normal 9 5 4 2" xfId="10395"/>
    <cellStyle name="Normal 9 5 5" xfId="10396"/>
    <cellStyle name="Normal 9 6" xfId="10397"/>
    <cellStyle name="Normal 9 6 2" xfId="10398"/>
    <cellStyle name="Normal 9 6 3" xfId="10399"/>
    <cellStyle name="Normal 9 6 3 2" xfId="10400"/>
    <cellStyle name="Normal 9 6 4" xfId="10401"/>
    <cellStyle name="Normal 9 6 4 2" xfId="10402"/>
    <cellStyle name="Normal 9 6 5" xfId="10403"/>
    <cellStyle name="Normal 9 7" xfId="10404"/>
    <cellStyle name="Normal 9 8" xfId="10405"/>
    <cellStyle name="Normal 9 9" xfId="10406"/>
    <cellStyle name="Normal 90" xfId="10407"/>
    <cellStyle name="Normal 91" xfId="10408"/>
    <cellStyle name="Normal 92" xfId="10409"/>
    <cellStyle name="Normal 93" xfId="10410"/>
    <cellStyle name="Normal 94" xfId="10411"/>
    <cellStyle name="Normal 95" xfId="10412"/>
    <cellStyle name="Normal 95 2" xfId="10413"/>
    <cellStyle name="Normal 96" xfId="10414"/>
    <cellStyle name="Normal 97" xfId="10415"/>
    <cellStyle name="Normal 98" xfId="10416"/>
    <cellStyle name="Normal 98 2" xfId="10417"/>
    <cellStyle name="Normal 99" xfId="10418"/>
    <cellStyle name="Not Complete" xfId="10419"/>
    <cellStyle name="Note 10" xfId="10420"/>
    <cellStyle name="Note 10 10" xfId="10421"/>
    <cellStyle name="Note 10 10 2" xfId="10422"/>
    <cellStyle name="Note 10 11" xfId="10423"/>
    <cellStyle name="Note 10 11 2" xfId="10424"/>
    <cellStyle name="Note 10 12" xfId="10425"/>
    <cellStyle name="Note 10 12 2" xfId="10426"/>
    <cellStyle name="Note 10 13" xfId="10427"/>
    <cellStyle name="Note 10 13 2" xfId="10428"/>
    <cellStyle name="Note 10 14" xfId="10429"/>
    <cellStyle name="Note 10 14 2" xfId="10430"/>
    <cellStyle name="Note 10 15" xfId="10431"/>
    <cellStyle name="Note 10 15 2" xfId="10432"/>
    <cellStyle name="Note 10 16" xfId="10433"/>
    <cellStyle name="Note 10 16 2" xfId="10434"/>
    <cellStyle name="Note 10 17" xfId="10435"/>
    <cellStyle name="Note 10 17 2" xfId="10436"/>
    <cellStyle name="Note 10 18" xfId="10437"/>
    <cellStyle name="Note 10 18 2" xfId="10438"/>
    <cellStyle name="Note 10 19" xfId="10439"/>
    <cellStyle name="Note 10 19 2" xfId="10440"/>
    <cellStyle name="Note 10 2" xfId="10441"/>
    <cellStyle name="Note 10 2 2" xfId="10442"/>
    <cellStyle name="Note 10 20" xfId="10443"/>
    <cellStyle name="Note 10 20 2" xfId="10444"/>
    <cellStyle name="Note 10 21" xfId="10445"/>
    <cellStyle name="Note 10 21 2" xfId="10446"/>
    <cellStyle name="Note 10 22" xfId="10447"/>
    <cellStyle name="Note 10 22 2" xfId="10448"/>
    <cellStyle name="Note 10 23" xfId="10449"/>
    <cellStyle name="Note 10 3" xfId="10450"/>
    <cellStyle name="Note 10 3 2" xfId="10451"/>
    <cellStyle name="Note 10 4" xfId="10452"/>
    <cellStyle name="Note 10 4 2" xfId="10453"/>
    <cellStyle name="Note 10 5" xfId="10454"/>
    <cellStyle name="Note 10 5 2" xfId="10455"/>
    <cellStyle name="Note 10 6" xfId="10456"/>
    <cellStyle name="Note 10 6 2" xfId="10457"/>
    <cellStyle name="Note 10 7" xfId="10458"/>
    <cellStyle name="Note 10 7 2" xfId="10459"/>
    <cellStyle name="Note 10 8" xfId="10460"/>
    <cellStyle name="Note 10 8 2" xfId="10461"/>
    <cellStyle name="Note 10 9" xfId="10462"/>
    <cellStyle name="Note 10 9 2" xfId="10463"/>
    <cellStyle name="Note 11" xfId="10464"/>
    <cellStyle name="Note 11 10" xfId="10465"/>
    <cellStyle name="Note 11 10 2" xfId="10466"/>
    <cellStyle name="Note 11 11" xfId="10467"/>
    <cellStyle name="Note 11 11 2" xfId="10468"/>
    <cellStyle name="Note 11 12" xfId="10469"/>
    <cellStyle name="Note 11 12 2" xfId="10470"/>
    <cellStyle name="Note 11 13" xfId="10471"/>
    <cellStyle name="Note 11 13 2" xfId="10472"/>
    <cellStyle name="Note 11 14" xfId="10473"/>
    <cellStyle name="Note 11 14 2" xfId="10474"/>
    <cellStyle name="Note 11 15" xfId="10475"/>
    <cellStyle name="Note 11 15 2" xfId="10476"/>
    <cellStyle name="Note 11 16" xfId="10477"/>
    <cellStyle name="Note 11 16 2" xfId="10478"/>
    <cellStyle name="Note 11 17" xfId="10479"/>
    <cellStyle name="Note 11 17 2" xfId="10480"/>
    <cellStyle name="Note 11 18" xfId="10481"/>
    <cellStyle name="Note 11 18 2" xfId="10482"/>
    <cellStyle name="Note 11 19" xfId="10483"/>
    <cellStyle name="Note 11 19 2" xfId="10484"/>
    <cellStyle name="Note 11 2" xfId="10485"/>
    <cellStyle name="Note 11 2 2" xfId="10486"/>
    <cellStyle name="Note 11 20" xfId="10487"/>
    <cellStyle name="Note 11 20 2" xfId="10488"/>
    <cellStyle name="Note 11 21" xfId="10489"/>
    <cellStyle name="Note 11 21 2" xfId="10490"/>
    <cellStyle name="Note 11 22" xfId="10491"/>
    <cellStyle name="Note 11 22 2" xfId="10492"/>
    <cellStyle name="Note 11 23" xfId="10493"/>
    <cellStyle name="Note 11 3" xfId="10494"/>
    <cellStyle name="Note 11 3 2" xfId="10495"/>
    <cellStyle name="Note 11 4" xfId="10496"/>
    <cellStyle name="Note 11 4 2" xfId="10497"/>
    <cellStyle name="Note 11 5" xfId="10498"/>
    <cellStyle name="Note 11 5 2" xfId="10499"/>
    <cellStyle name="Note 11 6" xfId="10500"/>
    <cellStyle name="Note 11 6 2" xfId="10501"/>
    <cellStyle name="Note 11 7" xfId="10502"/>
    <cellStyle name="Note 11 7 2" xfId="10503"/>
    <cellStyle name="Note 11 8" xfId="10504"/>
    <cellStyle name="Note 11 8 2" xfId="10505"/>
    <cellStyle name="Note 11 9" xfId="10506"/>
    <cellStyle name="Note 11 9 2" xfId="10507"/>
    <cellStyle name="Note 12" xfId="10508"/>
    <cellStyle name="Note 12 10" xfId="10509"/>
    <cellStyle name="Note 12 10 2" xfId="10510"/>
    <cellStyle name="Note 12 11" xfId="10511"/>
    <cellStyle name="Note 12 11 2" xfId="10512"/>
    <cellStyle name="Note 12 12" xfId="10513"/>
    <cellStyle name="Note 12 12 2" xfId="10514"/>
    <cellStyle name="Note 12 13" xfId="10515"/>
    <cellStyle name="Note 12 13 2" xfId="10516"/>
    <cellStyle name="Note 12 14" xfId="10517"/>
    <cellStyle name="Note 12 14 2" xfId="10518"/>
    <cellStyle name="Note 12 15" xfId="10519"/>
    <cellStyle name="Note 12 15 2" xfId="10520"/>
    <cellStyle name="Note 12 16" xfId="10521"/>
    <cellStyle name="Note 12 16 2" xfId="10522"/>
    <cellStyle name="Note 12 17" xfId="10523"/>
    <cellStyle name="Note 12 17 2" xfId="10524"/>
    <cellStyle name="Note 12 18" xfId="10525"/>
    <cellStyle name="Note 12 18 2" xfId="10526"/>
    <cellStyle name="Note 12 19" xfId="10527"/>
    <cellStyle name="Note 12 19 2" xfId="10528"/>
    <cellStyle name="Note 12 2" xfId="10529"/>
    <cellStyle name="Note 12 2 2" xfId="10530"/>
    <cellStyle name="Note 12 20" xfId="10531"/>
    <cellStyle name="Note 12 20 2" xfId="10532"/>
    <cellStyle name="Note 12 21" xfId="10533"/>
    <cellStyle name="Note 12 21 2" xfId="10534"/>
    <cellStyle name="Note 12 22" xfId="10535"/>
    <cellStyle name="Note 12 22 2" xfId="10536"/>
    <cellStyle name="Note 12 23" xfId="10537"/>
    <cellStyle name="Note 12 3" xfId="10538"/>
    <cellStyle name="Note 12 3 2" xfId="10539"/>
    <cellStyle name="Note 12 4" xfId="10540"/>
    <cellStyle name="Note 12 4 2" xfId="10541"/>
    <cellStyle name="Note 12 5" xfId="10542"/>
    <cellStyle name="Note 12 5 2" xfId="10543"/>
    <cellStyle name="Note 12 6" xfId="10544"/>
    <cellStyle name="Note 12 6 2" xfId="10545"/>
    <cellStyle name="Note 12 7" xfId="10546"/>
    <cellStyle name="Note 12 7 2" xfId="10547"/>
    <cellStyle name="Note 12 8" xfId="10548"/>
    <cellStyle name="Note 12 8 2" xfId="10549"/>
    <cellStyle name="Note 12 9" xfId="10550"/>
    <cellStyle name="Note 12 9 2" xfId="10551"/>
    <cellStyle name="Note 13" xfId="10552"/>
    <cellStyle name="Note 13 2" xfId="10553"/>
    <cellStyle name="Note 14" xfId="10554"/>
    <cellStyle name="Note 14 2" xfId="10555"/>
    <cellStyle name="Note 15" xfId="10556"/>
    <cellStyle name="Note 15 2" xfId="10557"/>
    <cellStyle name="Note 16" xfId="10558"/>
    <cellStyle name="Note 16 2" xfId="10559"/>
    <cellStyle name="Note 17" xfId="10560"/>
    <cellStyle name="Note 17 2" xfId="10561"/>
    <cellStyle name="Note 18" xfId="10562"/>
    <cellStyle name="Note 18 2" xfId="10563"/>
    <cellStyle name="Note 19" xfId="10564"/>
    <cellStyle name="Note 19 2" xfId="10565"/>
    <cellStyle name="Note 2" xfId="10566"/>
    <cellStyle name="Note 2 10" xfId="10567"/>
    <cellStyle name="Note 2 10 2" xfId="10568"/>
    <cellStyle name="Note 2 11" xfId="10569"/>
    <cellStyle name="Note 2 11 2" xfId="10570"/>
    <cellStyle name="Note 2 12" xfId="10571"/>
    <cellStyle name="Note 2 12 2" xfId="10572"/>
    <cellStyle name="Note 2 13" xfId="10573"/>
    <cellStyle name="Note 2 13 2" xfId="10574"/>
    <cellStyle name="Note 2 14" xfId="10575"/>
    <cellStyle name="Note 2 14 2" xfId="10576"/>
    <cellStyle name="Note 2 15" xfId="10577"/>
    <cellStyle name="Note 2 15 2" xfId="10578"/>
    <cellStyle name="Note 2 16" xfId="10579"/>
    <cellStyle name="Note 2 16 2" xfId="10580"/>
    <cellStyle name="Note 2 17" xfId="10581"/>
    <cellStyle name="Note 2 17 2" xfId="10582"/>
    <cellStyle name="Note 2 18" xfId="10583"/>
    <cellStyle name="Note 2 18 2" xfId="10584"/>
    <cellStyle name="Note 2 19" xfId="10585"/>
    <cellStyle name="Note 2 19 2" xfId="10586"/>
    <cellStyle name="Note 2 2" xfId="10587"/>
    <cellStyle name="Note 2 2 2" xfId="10588"/>
    <cellStyle name="Note 2 2 3" xfId="10589"/>
    <cellStyle name="Note 2 20" xfId="10590"/>
    <cellStyle name="Note 2 20 2" xfId="10591"/>
    <cellStyle name="Note 2 21" xfId="10592"/>
    <cellStyle name="Note 2 21 2" xfId="10593"/>
    <cellStyle name="Note 2 22" xfId="10594"/>
    <cellStyle name="Note 2 22 2" xfId="10595"/>
    <cellStyle name="Note 2 23" xfId="10596"/>
    <cellStyle name="Note 2 23 2" xfId="10597"/>
    <cellStyle name="Note 2 24" xfId="10598"/>
    <cellStyle name="Note 2 24 2" xfId="10599"/>
    <cellStyle name="Note 2 25" xfId="10600"/>
    <cellStyle name="Note 2 25 2" xfId="10601"/>
    <cellStyle name="Note 2 26" xfId="10602"/>
    <cellStyle name="Note 2 26 2" xfId="10603"/>
    <cellStyle name="Note 2 27" xfId="10604"/>
    <cellStyle name="Note 2 27 2" xfId="10605"/>
    <cellStyle name="Note 2 28" xfId="10606"/>
    <cellStyle name="Note 2 28 2" xfId="10607"/>
    <cellStyle name="Note 2 29" xfId="10608"/>
    <cellStyle name="Note 2 29 2" xfId="10609"/>
    <cellStyle name="Note 2 3" xfId="10610"/>
    <cellStyle name="Note 2 3 2" xfId="10611"/>
    <cellStyle name="Note 2 30" xfId="10612"/>
    <cellStyle name="Note 2 30 2" xfId="10613"/>
    <cellStyle name="Note 2 31" xfId="10614"/>
    <cellStyle name="Note 2 31 2" xfId="10615"/>
    <cellStyle name="Note 2 32" xfId="10616"/>
    <cellStyle name="Note 2 32 2" xfId="10617"/>
    <cellStyle name="Note 2 33" xfId="10618"/>
    <cellStyle name="Note 2 33 2" xfId="10619"/>
    <cellStyle name="Note 2 34" xfId="10620"/>
    <cellStyle name="Note 2 34 2" xfId="10621"/>
    <cellStyle name="Note 2 35" xfId="10622"/>
    <cellStyle name="Note 2 35 2" xfId="10623"/>
    <cellStyle name="Note 2 36" xfId="10624"/>
    <cellStyle name="Note 2 36 2" xfId="10625"/>
    <cellStyle name="Note 2 37" xfId="10626"/>
    <cellStyle name="Note 2 37 2" xfId="10627"/>
    <cellStyle name="Note 2 38" xfId="10628"/>
    <cellStyle name="Note 2 38 2" xfId="10629"/>
    <cellStyle name="Note 2 39" xfId="10630"/>
    <cellStyle name="Note 2 39 2" xfId="10631"/>
    <cellStyle name="Note 2 4" xfId="10632"/>
    <cellStyle name="Note 2 4 2" xfId="10633"/>
    <cellStyle name="Note 2 40" xfId="10634"/>
    <cellStyle name="Note 2 40 2" xfId="10635"/>
    <cellStyle name="Note 2 41" xfId="10636"/>
    <cellStyle name="Note 2 41 2" xfId="10637"/>
    <cellStyle name="Note 2 42" xfId="10638"/>
    <cellStyle name="Note 2 42 2" xfId="10639"/>
    <cellStyle name="Note 2 43" xfId="10640"/>
    <cellStyle name="Note 2 43 2" xfId="10641"/>
    <cellStyle name="Note 2 44" xfId="10642"/>
    <cellStyle name="Note 2 44 2" xfId="10643"/>
    <cellStyle name="Note 2 45" xfId="10644"/>
    <cellStyle name="Note 2 45 2" xfId="10645"/>
    <cellStyle name="Note 2 46" xfId="10646"/>
    <cellStyle name="Note 2 46 2" xfId="10647"/>
    <cellStyle name="Note 2 47" xfId="10648"/>
    <cellStyle name="Note 2 47 2" xfId="10649"/>
    <cellStyle name="Note 2 48" xfId="10650"/>
    <cellStyle name="Note 2 48 2" xfId="10651"/>
    <cellStyle name="Note 2 49" xfId="10652"/>
    <cellStyle name="Note 2 49 2" xfId="10653"/>
    <cellStyle name="Note 2 5" xfId="10654"/>
    <cellStyle name="Note 2 5 2" xfId="10655"/>
    <cellStyle name="Note 2 50" xfId="10656"/>
    <cellStyle name="Note 2 50 2" xfId="10657"/>
    <cellStyle name="Note 2 51" xfId="10658"/>
    <cellStyle name="Note 2 51 2" xfId="10659"/>
    <cellStyle name="Note 2 52" xfId="10660"/>
    <cellStyle name="Note 2 52 2" xfId="10661"/>
    <cellStyle name="Note 2 53" xfId="10662"/>
    <cellStyle name="Note 2 53 2" xfId="10663"/>
    <cellStyle name="Note 2 54" xfId="10664"/>
    <cellStyle name="Note 2 54 2" xfId="10665"/>
    <cellStyle name="Note 2 55" xfId="10666"/>
    <cellStyle name="Note 2 55 2" xfId="10667"/>
    <cellStyle name="Note 2 56" xfId="10668"/>
    <cellStyle name="Note 2 56 2" xfId="10669"/>
    <cellStyle name="Note 2 57" xfId="10670"/>
    <cellStyle name="Note 2 57 2" xfId="10671"/>
    <cellStyle name="Note 2 58" xfId="10672"/>
    <cellStyle name="Note 2 58 2" xfId="10673"/>
    <cellStyle name="Note 2 59" xfId="10674"/>
    <cellStyle name="Note 2 59 2" xfId="10675"/>
    <cellStyle name="Note 2 6" xfId="10676"/>
    <cellStyle name="Note 2 6 2" xfId="10677"/>
    <cellStyle name="Note 2 60" xfId="10678"/>
    <cellStyle name="Note 2 60 2" xfId="10679"/>
    <cellStyle name="Note 2 61" xfId="10680"/>
    <cellStyle name="Note 2 61 2" xfId="10681"/>
    <cellStyle name="Note 2 62" xfId="10682"/>
    <cellStyle name="Note 2 62 2" xfId="10683"/>
    <cellStyle name="Note 2 63" xfId="10684"/>
    <cellStyle name="Note 2 63 2" xfId="10685"/>
    <cellStyle name="Note 2 64" xfId="10686"/>
    <cellStyle name="Note 2 64 2" xfId="10687"/>
    <cellStyle name="Note 2 65" xfId="10688"/>
    <cellStyle name="Note 2 65 2" xfId="10689"/>
    <cellStyle name="Note 2 66" xfId="10690"/>
    <cellStyle name="Note 2 66 2" xfId="10691"/>
    <cellStyle name="Note 2 67" xfId="10692"/>
    <cellStyle name="Note 2 67 2" xfId="10693"/>
    <cellStyle name="Note 2 68" xfId="10694"/>
    <cellStyle name="Note 2 69" xfId="10695"/>
    <cellStyle name="Note 2 7" xfId="10696"/>
    <cellStyle name="Note 2 7 2" xfId="10697"/>
    <cellStyle name="Note 2 70" xfId="10698"/>
    <cellStyle name="Note 2 8" xfId="10699"/>
    <cellStyle name="Note 2 8 2" xfId="10700"/>
    <cellStyle name="Note 2 9" xfId="10701"/>
    <cellStyle name="Note 2 9 2" xfId="10702"/>
    <cellStyle name="Note 20" xfId="10703"/>
    <cellStyle name="Note 20 2" xfId="10704"/>
    <cellStyle name="Note 21" xfId="10705"/>
    <cellStyle name="Note 21 2" xfId="10706"/>
    <cellStyle name="Note 22" xfId="10707"/>
    <cellStyle name="Note 22 2" xfId="10708"/>
    <cellStyle name="Note 23" xfId="10709"/>
    <cellStyle name="Note 23 2" xfId="10710"/>
    <cellStyle name="Note 24" xfId="10711"/>
    <cellStyle name="Note 24 2" xfId="10712"/>
    <cellStyle name="Note 25" xfId="10713"/>
    <cellStyle name="Note 25 2" xfId="10714"/>
    <cellStyle name="Note 26" xfId="10715"/>
    <cellStyle name="Note 26 2" xfId="10716"/>
    <cellStyle name="Note 27" xfId="10717"/>
    <cellStyle name="Note 27 2" xfId="10718"/>
    <cellStyle name="Note 28" xfId="10719"/>
    <cellStyle name="Note 28 2" xfId="10720"/>
    <cellStyle name="Note 29" xfId="10721"/>
    <cellStyle name="Note 29 2" xfId="10722"/>
    <cellStyle name="Note 3" xfId="10723"/>
    <cellStyle name="Note 3 10" xfId="10724"/>
    <cellStyle name="Note 3 10 2" xfId="10725"/>
    <cellStyle name="Note 3 11" xfId="10726"/>
    <cellStyle name="Note 3 11 2" xfId="10727"/>
    <cellStyle name="Note 3 12" xfId="10728"/>
    <cellStyle name="Note 3 12 2" xfId="10729"/>
    <cellStyle name="Note 3 13" xfId="10730"/>
    <cellStyle name="Note 3 13 2" xfId="10731"/>
    <cellStyle name="Note 3 14" xfId="10732"/>
    <cellStyle name="Note 3 14 2" xfId="10733"/>
    <cellStyle name="Note 3 15" xfId="10734"/>
    <cellStyle name="Note 3 15 2" xfId="10735"/>
    <cellStyle name="Note 3 16" xfId="10736"/>
    <cellStyle name="Note 3 16 2" xfId="10737"/>
    <cellStyle name="Note 3 17" xfId="10738"/>
    <cellStyle name="Note 3 17 2" xfId="10739"/>
    <cellStyle name="Note 3 18" xfId="10740"/>
    <cellStyle name="Note 3 18 2" xfId="10741"/>
    <cellStyle name="Note 3 19" xfId="10742"/>
    <cellStyle name="Note 3 19 2" xfId="10743"/>
    <cellStyle name="Note 3 2" xfId="10744"/>
    <cellStyle name="Note 3 2 2" xfId="10745"/>
    <cellStyle name="Note 3 20" xfId="10746"/>
    <cellStyle name="Note 3 21" xfId="10747"/>
    <cellStyle name="Note 3 22" xfId="10748"/>
    <cellStyle name="Note 3 23" xfId="10749"/>
    <cellStyle name="Note 3 24" xfId="10750"/>
    <cellStyle name="Note 3 25" xfId="10751"/>
    <cellStyle name="Note 3 26" xfId="10752"/>
    <cellStyle name="Note 3 27" xfId="10753"/>
    <cellStyle name="Note 3 28" xfId="10754"/>
    <cellStyle name="Note 3 29" xfId="10755"/>
    <cellStyle name="Note 3 3" xfId="10756"/>
    <cellStyle name="Note 3 3 2" xfId="10757"/>
    <cellStyle name="Note 3 30" xfId="10758"/>
    <cellStyle name="Note 3 31" xfId="10759"/>
    <cellStyle name="Note 3 32" xfId="10760"/>
    <cellStyle name="Note 3 33" xfId="10761"/>
    <cellStyle name="Note 3 34" xfId="10762"/>
    <cellStyle name="Note 3 4" xfId="10763"/>
    <cellStyle name="Note 3 4 2" xfId="10764"/>
    <cellStyle name="Note 3 5" xfId="10765"/>
    <cellStyle name="Note 3 5 2" xfId="10766"/>
    <cellStyle name="Note 3 6" xfId="10767"/>
    <cellStyle name="Note 3 6 2" xfId="10768"/>
    <cellStyle name="Note 3 7" xfId="10769"/>
    <cellStyle name="Note 3 7 2" xfId="10770"/>
    <cellStyle name="Note 3 8" xfId="10771"/>
    <cellStyle name="Note 3 8 2" xfId="10772"/>
    <cellStyle name="Note 3 9" xfId="10773"/>
    <cellStyle name="Note 3 9 2" xfId="10774"/>
    <cellStyle name="Note 30" xfId="10775"/>
    <cellStyle name="Note 30 2" xfId="10776"/>
    <cellStyle name="Note 31" xfId="10777"/>
    <cellStyle name="Note 31 2" xfId="10778"/>
    <cellStyle name="Note 32" xfId="10779"/>
    <cellStyle name="Note 32 2" xfId="10780"/>
    <cellStyle name="Note 33" xfId="10781"/>
    <cellStyle name="Note 33 2" xfId="10782"/>
    <cellStyle name="Note 34" xfId="10783"/>
    <cellStyle name="Note 34 2" xfId="10784"/>
    <cellStyle name="Note 35" xfId="10785"/>
    <cellStyle name="Note 35 2" xfId="10786"/>
    <cellStyle name="Note 36" xfId="10787"/>
    <cellStyle name="Note 36 2" xfId="10788"/>
    <cellStyle name="Note 37" xfId="10789"/>
    <cellStyle name="Note 37 2" xfId="10790"/>
    <cellStyle name="Note 38" xfId="10791"/>
    <cellStyle name="Note 38 2" xfId="10792"/>
    <cellStyle name="Note 39" xfId="10793"/>
    <cellStyle name="Note 4" xfId="10794"/>
    <cellStyle name="Note 4 10" xfId="10795"/>
    <cellStyle name="Note 4 10 2" xfId="10796"/>
    <cellStyle name="Note 4 11" xfId="10797"/>
    <cellStyle name="Note 4 11 2" xfId="10798"/>
    <cellStyle name="Note 4 12" xfId="10799"/>
    <cellStyle name="Note 4 12 2" xfId="10800"/>
    <cellStyle name="Note 4 13" xfId="10801"/>
    <cellStyle name="Note 4 13 2" xfId="10802"/>
    <cellStyle name="Note 4 14" xfId="10803"/>
    <cellStyle name="Note 4 14 2" xfId="10804"/>
    <cellStyle name="Note 4 15" xfId="10805"/>
    <cellStyle name="Note 4 15 2" xfId="10806"/>
    <cellStyle name="Note 4 16" xfId="10807"/>
    <cellStyle name="Note 4 16 2" xfId="10808"/>
    <cellStyle name="Note 4 17" xfId="10809"/>
    <cellStyle name="Note 4 17 2" xfId="10810"/>
    <cellStyle name="Note 4 18" xfId="10811"/>
    <cellStyle name="Note 4 18 2" xfId="10812"/>
    <cellStyle name="Note 4 19" xfId="10813"/>
    <cellStyle name="Note 4 19 2" xfId="10814"/>
    <cellStyle name="Note 4 2" xfId="10815"/>
    <cellStyle name="Note 4 2 2" xfId="10816"/>
    <cellStyle name="Note 4 20" xfId="10817"/>
    <cellStyle name="Note 4 21" xfId="10818"/>
    <cellStyle name="Note 4 22" xfId="10819"/>
    <cellStyle name="Note 4 23" xfId="10820"/>
    <cellStyle name="Note 4 24" xfId="10821"/>
    <cellStyle name="Note 4 25" xfId="10822"/>
    <cellStyle name="Note 4 26" xfId="10823"/>
    <cellStyle name="Note 4 27" xfId="10824"/>
    <cellStyle name="Note 4 28" xfId="10825"/>
    <cellStyle name="Note 4 29" xfId="10826"/>
    <cellStyle name="Note 4 3" xfId="10827"/>
    <cellStyle name="Note 4 3 2" xfId="10828"/>
    <cellStyle name="Note 4 30" xfId="10829"/>
    <cellStyle name="Note 4 31" xfId="10830"/>
    <cellStyle name="Note 4 32" xfId="10831"/>
    <cellStyle name="Note 4 33" xfId="10832"/>
    <cellStyle name="Note 4 34" xfId="10833"/>
    <cellStyle name="Note 4 4" xfId="10834"/>
    <cellStyle name="Note 4 4 2" xfId="10835"/>
    <cellStyle name="Note 4 5" xfId="10836"/>
    <cellStyle name="Note 4 5 2" xfId="10837"/>
    <cellStyle name="Note 4 6" xfId="10838"/>
    <cellStyle name="Note 4 6 2" xfId="10839"/>
    <cellStyle name="Note 4 7" xfId="10840"/>
    <cellStyle name="Note 4 7 2" xfId="10841"/>
    <cellStyle name="Note 4 8" xfId="10842"/>
    <cellStyle name="Note 4 8 2" xfId="10843"/>
    <cellStyle name="Note 4 9" xfId="10844"/>
    <cellStyle name="Note 4 9 2" xfId="10845"/>
    <cellStyle name="Note 40" xfId="10846"/>
    <cellStyle name="Note 41" xfId="10847"/>
    <cellStyle name="Note 5" xfId="10848"/>
    <cellStyle name="Note 5 10" xfId="10849"/>
    <cellStyle name="Note 5 10 2" xfId="10850"/>
    <cellStyle name="Note 5 11" xfId="10851"/>
    <cellStyle name="Note 5 11 2" xfId="10852"/>
    <cellStyle name="Note 5 12" xfId="10853"/>
    <cellStyle name="Note 5 12 2" xfId="10854"/>
    <cellStyle name="Note 5 13" xfId="10855"/>
    <cellStyle name="Note 5 13 2" xfId="10856"/>
    <cellStyle name="Note 5 14" xfId="10857"/>
    <cellStyle name="Note 5 14 2" xfId="10858"/>
    <cellStyle name="Note 5 15" xfId="10859"/>
    <cellStyle name="Note 5 15 2" xfId="10860"/>
    <cellStyle name="Note 5 16" xfId="10861"/>
    <cellStyle name="Note 5 16 2" xfId="10862"/>
    <cellStyle name="Note 5 17" xfId="10863"/>
    <cellStyle name="Note 5 17 2" xfId="10864"/>
    <cellStyle name="Note 5 18" xfId="10865"/>
    <cellStyle name="Note 5 18 2" xfId="10866"/>
    <cellStyle name="Note 5 19" xfId="10867"/>
    <cellStyle name="Note 5 19 2" xfId="10868"/>
    <cellStyle name="Note 5 2" xfId="10869"/>
    <cellStyle name="Note 5 2 2" xfId="10870"/>
    <cellStyle name="Note 5 20" xfId="10871"/>
    <cellStyle name="Note 5 21" xfId="10872"/>
    <cellStyle name="Note 5 22" xfId="10873"/>
    <cellStyle name="Note 5 23" xfId="10874"/>
    <cellStyle name="Note 5 24" xfId="10875"/>
    <cellStyle name="Note 5 25" xfId="10876"/>
    <cellStyle name="Note 5 26" xfId="10877"/>
    <cellStyle name="Note 5 27" xfId="10878"/>
    <cellStyle name="Note 5 28" xfId="10879"/>
    <cellStyle name="Note 5 29" xfId="10880"/>
    <cellStyle name="Note 5 3" xfId="10881"/>
    <cellStyle name="Note 5 3 2" xfId="10882"/>
    <cellStyle name="Note 5 30" xfId="10883"/>
    <cellStyle name="Note 5 31" xfId="10884"/>
    <cellStyle name="Note 5 32" xfId="10885"/>
    <cellStyle name="Note 5 33" xfId="10886"/>
    <cellStyle name="Note 5 34" xfId="10887"/>
    <cellStyle name="Note 5 4" xfId="10888"/>
    <cellStyle name="Note 5 4 2" xfId="10889"/>
    <cellStyle name="Note 5 5" xfId="10890"/>
    <cellStyle name="Note 5 5 2" xfId="10891"/>
    <cellStyle name="Note 5 6" xfId="10892"/>
    <cellStyle name="Note 5 6 2" xfId="10893"/>
    <cellStyle name="Note 5 7" xfId="10894"/>
    <cellStyle name="Note 5 7 2" xfId="10895"/>
    <cellStyle name="Note 5 8" xfId="10896"/>
    <cellStyle name="Note 5 8 2" xfId="10897"/>
    <cellStyle name="Note 5 9" xfId="10898"/>
    <cellStyle name="Note 5 9 2" xfId="10899"/>
    <cellStyle name="Note 6" xfId="10900"/>
    <cellStyle name="Note 6 10" xfId="10901"/>
    <cellStyle name="Note 6 10 2" xfId="10902"/>
    <cellStyle name="Note 6 11" xfId="10903"/>
    <cellStyle name="Note 6 11 2" xfId="10904"/>
    <cellStyle name="Note 6 12" xfId="10905"/>
    <cellStyle name="Note 6 12 2" xfId="10906"/>
    <cellStyle name="Note 6 13" xfId="10907"/>
    <cellStyle name="Note 6 13 2" xfId="10908"/>
    <cellStyle name="Note 6 14" xfId="10909"/>
    <cellStyle name="Note 6 14 2" xfId="10910"/>
    <cellStyle name="Note 6 15" xfId="10911"/>
    <cellStyle name="Note 6 15 2" xfId="10912"/>
    <cellStyle name="Note 6 16" xfId="10913"/>
    <cellStyle name="Note 6 16 2" xfId="10914"/>
    <cellStyle name="Note 6 17" xfId="10915"/>
    <cellStyle name="Note 6 17 2" xfId="10916"/>
    <cellStyle name="Note 6 18" xfId="10917"/>
    <cellStyle name="Note 6 18 2" xfId="10918"/>
    <cellStyle name="Note 6 19" xfId="10919"/>
    <cellStyle name="Note 6 19 2" xfId="10920"/>
    <cellStyle name="Note 6 2" xfId="10921"/>
    <cellStyle name="Note 6 2 2" xfId="10922"/>
    <cellStyle name="Note 6 20" xfId="10923"/>
    <cellStyle name="Note 6 20 2" xfId="10924"/>
    <cellStyle name="Note 6 21" xfId="10925"/>
    <cellStyle name="Note 6 21 2" xfId="10926"/>
    <cellStyle name="Note 6 22" xfId="10927"/>
    <cellStyle name="Note 6 22 2" xfId="10928"/>
    <cellStyle name="Note 6 23" xfId="10929"/>
    <cellStyle name="Note 6 23 2" xfId="10930"/>
    <cellStyle name="Note 6 24" xfId="10931"/>
    <cellStyle name="Note 6 24 2" xfId="10932"/>
    <cellStyle name="Note 6 25" xfId="10933"/>
    <cellStyle name="Note 6 25 2" xfId="10934"/>
    <cellStyle name="Note 6 26" xfId="10935"/>
    <cellStyle name="Note 6 26 2" xfId="10936"/>
    <cellStyle name="Note 6 27" xfId="10937"/>
    <cellStyle name="Note 6 27 2" xfId="10938"/>
    <cellStyle name="Note 6 28" xfId="10939"/>
    <cellStyle name="Note 6 28 2" xfId="10940"/>
    <cellStyle name="Note 6 29" xfId="10941"/>
    <cellStyle name="Note 6 29 2" xfId="10942"/>
    <cellStyle name="Note 6 3" xfId="10943"/>
    <cellStyle name="Note 6 3 2" xfId="10944"/>
    <cellStyle name="Note 6 30" xfId="10945"/>
    <cellStyle name="Note 6 30 2" xfId="10946"/>
    <cellStyle name="Note 6 31" xfId="10947"/>
    <cellStyle name="Note 6 31 2" xfId="10948"/>
    <cellStyle name="Note 6 32" xfId="10949"/>
    <cellStyle name="Note 6 32 2" xfId="10950"/>
    <cellStyle name="Note 6 33" xfId="10951"/>
    <cellStyle name="Note 6 33 2" xfId="10952"/>
    <cellStyle name="Note 6 34" xfId="10953"/>
    <cellStyle name="Note 6 34 2" xfId="10954"/>
    <cellStyle name="Note 6 35" xfId="10955"/>
    <cellStyle name="Note 6 35 2" xfId="10956"/>
    <cellStyle name="Note 6 36" xfId="10957"/>
    <cellStyle name="Note 6 36 2" xfId="10958"/>
    <cellStyle name="Note 6 37" xfId="10959"/>
    <cellStyle name="Note 6 37 2" xfId="10960"/>
    <cellStyle name="Note 6 38" xfId="10961"/>
    <cellStyle name="Note 6 38 2" xfId="10962"/>
    <cellStyle name="Note 6 39" xfId="10963"/>
    <cellStyle name="Note 6 39 2" xfId="10964"/>
    <cellStyle name="Note 6 4" xfId="10965"/>
    <cellStyle name="Note 6 4 2" xfId="10966"/>
    <cellStyle name="Note 6 40" xfId="10967"/>
    <cellStyle name="Note 6 5" xfId="10968"/>
    <cellStyle name="Note 6 5 2" xfId="10969"/>
    <cellStyle name="Note 6 6" xfId="10970"/>
    <cellStyle name="Note 6 6 2" xfId="10971"/>
    <cellStyle name="Note 6 7" xfId="10972"/>
    <cellStyle name="Note 6 7 2" xfId="10973"/>
    <cellStyle name="Note 6 8" xfId="10974"/>
    <cellStyle name="Note 6 8 2" xfId="10975"/>
    <cellStyle name="Note 6 9" xfId="10976"/>
    <cellStyle name="Note 6 9 2" xfId="10977"/>
    <cellStyle name="Note 7" xfId="10978"/>
    <cellStyle name="Note 7 10" xfId="10979"/>
    <cellStyle name="Note 7 10 2" xfId="10980"/>
    <cellStyle name="Note 7 11" xfId="10981"/>
    <cellStyle name="Note 7 11 2" xfId="10982"/>
    <cellStyle name="Note 7 12" xfId="10983"/>
    <cellStyle name="Note 7 12 2" xfId="10984"/>
    <cellStyle name="Note 7 13" xfId="10985"/>
    <cellStyle name="Note 7 13 2" xfId="10986"/>
    <cellStyle name="Note 7 14" xfId="10987"/>
    <cellStyle name="Note 7 14 2" xfId="10988"/>
    <cellStyle name="Note 7 15" xfId="10989"/>
    <cellStyle name="Note 7 15 2" xfId="10990"/>
    <cellStyle name="Note 7 16" xfId="10991"/>
    <cellStyle name="Note 7 16 2" xfId="10992"/>
    <cellStyle name="Note 7 17" xfId="10993"/>
    <cellStyle name="Note 7 17 2" xfId="10994"/>
    <cellStyle name="Note 7 18" xfId="10995"/>
    <cellStyle name="Note 7 18 2" xfId="10996"/>
    <cellStyle name="Note 7 19" xfId="10997"/>
    <cellStyle name="Note 7 19 2" xfId="10998"/>
    <cellStyle name="Note 7 2" xfId="10999"/>
    <cellStyle name="Note 7 2 2" xfId="11000"/>
    <cellStyle name="Note 7 20" xfId="11001"/>
    <cellStyle name="Note 7 20 2" xfId="11002"/>
    <cellStyle name="Note 7 21" xfId="11003"/>
    <cellStyle name="Note 7 21 2" xfId="11004"/>
    <cellStyle name="Note 7 22" xfId="11005"/>
    <cellStyle name="Note 7 22 2" xfId="11006"/>
    <cellStyle name="Note 7 23" xfId="11007"/>
    <cellStyle name="Note 7 23 2" xfId="11008"/>
    <cellStyle name="Note 7 24" xfId="11009"/>
    <cellStyle name="Note 7 24 2" xfId="11010"/>
    <cellStyle name="Note 7 25" xfId="11011"/>
    <cellStyle name="Note 7 25 2" xfId="11012"/>
    <cellStyle name="Note 7 26" xfId="11013"/>
    <cellStyle name="Note 7 26 2" xfId="11014"/>
    <cellStyle name="Note 7 27" xfId="11015"/>
    <cellStyle name="Note 7 27 2" xfId="11016"/>
    <cellStyle name="Note 7 28" xfId="11017"/>
    <cellStyle name="Note 7 28 2" xfId="11018"/>
    <cellStyle name="Note 7 29" xfId="11019"/>
    <cellStyle name="Note 7 29 2" xfId="11020"/>
    <cellStyle name="Note 7 3" xfId="11021"/>
    <cellStyle name="Note 7 3 2" xfId="11022"/>
    <cellStyle name="Note 7 30" xfId="11023"/>
    <cellStyle name="Note 7 30 2" xfId="11024"/>
    <cellStyle name="Note 7 31" xfId="11025"/>
    <cellStyle name="Note 7 31 2" xfId="11026"/>
    <cellStyle name="Note 7 32" xfId="11027"/>
    <cellStyle name="Note 7 32 2" xfId="11028"/>
    <cellStyle name="Note 7 33" xfId="11029"/>
    <cellStyle name="Note 7 33 2" xfId="11030"/>
    <cellStyle name="Note 7 34" xfId="11031"/>
    <cellStyle name="Note 7 34 2" xfId="11032"/>
    <cellStyle name="Note 7 35" xfId="11033"/>
    <cellStyle name="Note 7 35 2" xfId="11034"/>
    <cellStyle name="Note 7 36" xfId="11035"/>
    <cellStyle name="Note 7 36 2" xfId="11036"/>
    <cellStyle name="Note 7 37" xfId="11037"/>
    <cellStyle name="Note 7 37 2" xfId="11038"/>
    <cellStyle name="Note 7 38" xfId="11039"/>
    <cellStyle name="Note 7 38 2" xfId="11040"/>
    <cellStyle name="Note 7 39" xfId="11041"/>
    <cellStyle name="Note 7 39 2" xfId="11042"/>
    <cellStyle name="Note 7 4" xfId="11043"/>
    <cellStyle name="Note 7 4 2" xfId="11044"/>
    <cellStyle name="Note 7 40" xfId="11045"/>
    <cellStyle name="Note 7 5" xfId="11046"/>
    <cellStyle name="Note 7 5 2" xfId="11047"/>
    <cellStyle name="Note 7 6" xfId="11048"/>
    <cellStyle name="Note 7 6 2" xfId="11049"/>
    <cellStyle name="Note 7 7" xfId="11050"/>
    <cellStyle name="Note 7 7 2" xfId="11051"/>
    <cellStyle name="Note 7 8" xfId="11052"/>
    <cellStyle name="Note 7 8 2" xfId="11053"/>
    <cellStyle name="Note 7 9" xfId="11054"/>
    <cellStyle name="Note 7 9 2" xfId="11055"/>
    <cellStyle name="Note 8" xfId="11056"/>
    <cellStyle name="Note 8 10" xfId="11057"/>
    <cellStyle name="Note 8 10 2" xfId="11058"/>
    <cellStyle name="Note 8 11" xfId="11059"/>
    <cellStyle name="Note 8 11 2" xfId="11060"/>
    <cellStyle name="Note 8 12" xfId="11061"/>
    <cellStyle name="Note 8 12 2" xfId="11062"/>
    <cellStyle name="Note 8 13" xfId="11063"/>
    <cellStyle name="Note 8 13 2" xfId="11064"/>
    <cellStyle name="Note 8 14" xfId="11065"/>
    <cellStyle name="Note 8 14 2" xfId="11066"/>
    <cellStyle name="Note 8 15" xfId="11067"/>
    <cellStyle name="Note 8 15 2" xfId="11068"/>
    <cellStyle name="Note 8 16" xfId="11069"/>
    <cellStyle name="Note 8 16 2" xfId="11070"/>
    <cellStyle name="Note 8 17" xfId="11071"/>
    <cellStyle name="Note 8 17 2" xfId="11072"/>
    <cellStyle name="Note 8 18" xfId="11073"/>
    <cellStyle name="Note 8 18 2" xfId="11074"/>
    <cellStyle name="Note 8 19" xfId="11075"/>
    <cellStyle name="Note 8 19 2" xfId="11076"/>
    <cellStyle name="Note 8 2" xfId="11077"/>
    <cellStyle name="Note 8 2 2" xfId="11078"/>
    <cellStyle name="Note 8 20" xfId="11079"/>
    <cellStyle name="Note 8 20 2" xfId="11080"/>
    <cellStyle name="Note 8 21" xfId="11081"/>
    <cellStyle name="Note 8 21 2" xfId="11082"/>
    <cellStyle name="Note 8 22" xfId="11083"/>
    <cellStyle name="Note 8 22 2" xfId="11084"/>
    <cellStyle name="Note 8 23" xfId="11085"/>
    <cellStyle name="Note 8 23 2" xfId="11086"/>
    <cellStyle name="Note 8 24" xfId="11087"/>
    <cellStyle name="Note 8 24 2" xfId="11088"/>
    <cellStyle name="Note 8 25" xfId="11089"/>
    <cellStyle name="Note 8 25 2" xfId="11090"/>
    <cellStyle name="Note 8 26" xfId="11091"/>
    <cellStyle name="Note 8 26 2" xfId="11092"/>
    <cellStyle name="Note 8 27" xfId="11093"/>
    <cellStyle name="Note 8 27 2" xfId="11094"/>
    <cellStyle name="Note 8 28" xfId="11095"/>
    <cellStyle name="Note 8 28 2" xfId="11096"/>
    <cellStyle name="Note 8 29" xfId="11097"/>
    <cellStyle name="Note 8 29 2" xfId="11098"/>
    <cellStyle name="Note 8 3" xfId="11099"/>
    <cellStyle name="Note 8 3 2" xfId="11100"/>
    <cellStyle name="Note 8 30" xfId="11101"/>
    <cellStyle name="Note 8 30 2" xfId="11102"/>
    <cellStyle name="Note 8 31" xfId="11103"/>
    <cellStyle name="Note 8 31 2" xfId="11104"/>
    <cellStyle name="Note 8 32" xfId="11105"/>
    <cellStyle name="Note 8 4" xfId="11106"/>
    <cellStyle name="Note 8 4 2" xfId="11107"/>
    <cellStyle name="Note 8 5" xfId="11108"/>
    <cellStyle name="Note 8 5 2" xfId="11109"/>
    <cellStyle name="Note 8 6" xfId="11110"/>
    <cellStyle name="Note 8 6 2" xfId="11111"/>
    <cellStyle name="Note 8 7" xfId="11112"/>
    <cellStyle name="Note 8 7 2" xfId="11113"/>
    <cellStyle name="Note 8 8" xfId="11114"/>
    <cellStyle name="Note 8 8 2" xfId="11115"/>
    <cellStyle name="Note 8 9" xfId="11116"/>
    <cellStyle name="Note 8 9 2" xfId="11117"/>
    <cellStyle name="Note 9" xfId="11118"/>
    <cellStyle name="Note 9 10" xfId="11119"/>
    <cellStyle name="Note 9 10 2" xfId="11120"/>
    <cellStyle name="Note 9 11" xfId="11121"/>
    <cellStyle name="Note 9 11 2" xfId="11122"/>
    <cellStyle name="Note 9 11 3" xfId="11123"/>
    <cellStyle name="Note 9 12" xfId="11124"/>
    <cellStyle name="Note 9 12 2" xfId="11125"/>
    <cellStyle name="Note 9 12 3" xfId="11126"/>
    <cellStyle name="Note 9 13" xfId="11127"/>
    <cellStyle name="Note 9 13 2" xfId="11128"/>
    <cellStyle name="Note 9 13 3" xfId="11129"/>
    <cellStyle name="Note 9 14" xfId="11130"/>
    <cellStyle name="Note 9 14 2" xfId="11131"/>
    <cellStyle name="Note 9 14 3" xfId="11132"/>
    <cellStyle name="Note 9 15" xfId="11133"/>
    <cellStyle name="Note 9 15 2" xfId="11134"/>
    <cellStyle name="Note 9 15 3" xfId="11135"/>
    <cellStyle name="Note 9 16" xfId="11136"/>
    <cellStyle name="Note 9 16 2" xfId="11137"/>
    <cellStyle name="Note 9 16 3" xfId="11138"/>
    <cellStyle name="Note 9 17" xfId="11139"/>
    <cellStyle name="Note 9 17 2" xfId="11140"/>
    <cellStyle name="Note 9 17 3" xfId="11141"/>
    <cellStyle name="Note 9 18" xfId="11142"/>
    <cellStyle name="Note 9 18 2" xfId="11143"/>
    <cellStyle name="Note 9 18 3" xfId="11144"/>
    <cellStyle name="Note 9 19" xfId="11145"/>
    <cellStyle name="Note 9 19 2" xfId="11146"/>
    <cellStyle name="Note 9 19 3" xfId="11147"/>
    <cellStyle name="Note 9 2" xfId="11148"/>
    <cellStyle name="Note 9 2 2" xfId="11149"/>
    <cellStyle name="Note 9 2 2 2" xfId="11150"/>
    <cellStyle name="Note 9 2 3" xfId="11151"/>
    <cellStyle name="Note 9 20" xfId="11152"/>
    <cellStyle name="Note 9 20 2" xfId="11153"/>
    <cellStyle name="Note 9 20 3" xfId="11154"/>
    <cellStyle name="Note 9 21" xfId="11155"/>
    <cellStyle name="Note 9 21 2" xfId="11156"/>
    <cellStyle name="Note 9 21 3" xfId="11157"/>
    <cellStyle name="Note 9 22" xfId="11158"/>
    <cellStyle name="Note 9 22 2" xfId="11159"/>
    <cellStyle name="Note 9 22 3" xfId="11160"/>
    <cellStyle name="Note 9 23" xfId="11161"/>
    <cellStyle name="Note 9 23 2" xfId="11162"/>
    <cellStyle name="Note 9 23 3" xfId="11163"/>
    <cellStyle name="Note 9 24" xfId="11164"/>
    <cellStyle name="Note 9 24 2" xfId="11165"/>
    <cellStyle name="Note 9 24 3" xfId="11166"/>
    <cellStyle name="Note 9 25" xfId="11167"/>
    <cellStyle name="Note 9 25 2" xfId="11168"/>
    <cellStyle name="Note 9 26" xfId="11169"/>
    <cellStyle name="Note 9 26 2" xfId="11170"/>
    <cellStyle name="Note 9 27" xfId="11171"/>
    <cellStyle name="Note 9 27 2" xfId="11172"/>
    <cellStyle name="Note 9 28" xfId="11173"/>
    <cellStyle name="Note 9 28 2" xfId="11174"/>
    <cellStyle name="Note 9 29" xfId="11175"/>
    <cellStyle name="Note 9 29 2" xfId="11176"/>
    <cellStyle name="Note 9 3" xfId="11177"/>
    <cellStyle name="Note 9 3 2" xfId="11178"/>
    <cellStyle name="Note 9 3 2 2" xfId="11179"/>
    <cellStyle name="Note 9 3 3" xfId="11180"/>
    <cellStyle name="Note 9 30" xfId="11181"/>
    <cellStyle name="Note 9 4" xfId="11182"/>
    <cellStyle name="Note 9 4 2" xfId="11183"/>
    <cellStyle name="Note 9 4 2 2" xfId="11184"/>
    <cellStyle name="Note 9 4 3" xfId="11185"/>
    <cellStyle name="Note 9 5" xfId="11186"/>
    <cellStyle name="Note 9 5 2" xfId="11187"/>
    <cellStyle name="Note 9 6" xfId="11188"/>
    <cellStyle name="Note 9 6 2" xfId="11189"/>
    <cellStyle name="Note 9 7" xfId="11190"/>
    <cellStyle name="Note 9 7 2" xfId="11191"/>
    <cellStyle name="Note 9 8" xfId="11192"/>
    <cellStyle name="Note 9 8 2" xfId="11193"/>
    <cellStyle name="Note 9 9" xfId="11194"/>
    <cellStyle name="Note 9 9 2" xfId="11195"/>
    <cellStyle name="Output 2" xfId="11196"/>
    <cellStyle name="Output 2 2" xfId="11197"/>
    <cellStyle name="Output 2 2 2" xfId="11198"/>
    <cellStyle name="Output 2 3" xfId="11199"/>
    <cellStyle name="Output 2 3 2" xfId="11200"/>
    <cellStyle name="Output 2 4" xfId="11201"/>
    <cellStyle name="Output 3" xfId="11202"/>
    <cellStyle name="Output 3 2" xfId="11203"/>
    <cellStyle name="Output 3 2 2" xfId="11204"/>
    <cellStyle name="Output 3 3" xfId="11205"/>
    <cellStyle name="Output 4" xfId="11206"/>
    <cellStyle name="Output 4 2" xfId="11207"/>
    <cellStyle name="Output 5" xfId="11208"/>
    <cellStyle name="Output 5 2" xfId="11209"/>
    <cellStyle name="Output 5 2 2" xfId="11210"/>
    <cellStyle name="Output 6" xfId="11211"/>
    <cellStyle name="Output 6 2" xfId="11212"/>
    <cellStyle name="Output 6 2 2" xfId="11213"/>
    <cellStyle name="Output 7" xfId="11214"/>
    <cellStyle name="Output 8" xfId="11215"/>
    <cellStyle name="Percent" xfId="2" builtinId="5"/>
    <cellStyle name="Percent 10" xfId="11216"/>
    <cellStyle name="Percent 10 2" xfId="11217"/>
    <cellStyle name="Percent 10 2 2" xfId="11218"/>
    <cellStyle name="Percent 10 3" xfId="11219"/>
    <cellStyle name="Percent 10 3 2" xfId="11220"/>
    <cellStyle name="Percent 10 4" xfId="11221"/>
    <cellStyle name="Percent 10 5" xfId="11222"/>
    <cellStyle name="Percent 11" xfId="11223"/>
    <cellStyle name="Percent 11 2" xfId="11224"/>
    <cellStyle name="Percent 11 2 2" xfId="11225"/>
    <cellStyle name="Percent 11 3" xfId="11226"/>
    <cellStyle name="Percent 11 3 2" xfId="11227"/>
    <cellStyle name="Percent 11 4" xfId="11228"/>
    <cellStyle name="Percent 12" xfId="11229"/>
    <cellStyle name="Percent 12 2" xfId="11230"/>
    <cellStyle name="Percent 12 2 2" xfId="11231"/>
    <cellStyle name="Percent 12 3" xfId="11232"/>
    <cellStyle name="Percent 12 3 2" xfId="11233"/>
    <cellStyle name="Percent 12 4" xfId="11234"/>
    <cellStyle name="Percent 13" xfId="11235"/>
    <cellStyle name="Percent 13 2" xfId="11236"/>
    <cellStyle name="Percent 14" xfId="11237"/>
    <cellStyle name="Percent 14 2" xfId="11238"/>
    <cellStyle name="Percent 15" xfId="11239"/>
    <cellStyle name="Percent 15 2" xfId="11240"/>
    <cellStyle name="Percent 16" xfId="11241"/>
    <cellStyle name="Percent 17" xfId="11242"/>
    <cellStyle name="Percent 17 2" xfId="11243"/>
    <cellStyle name="Percent 17 2 2" xfId="11244"/>
    <cellStyle name="Percent 17 3" xfId="11245"/>
    <cellStyle name="Percent 17 3 2" xfId="11246"/>
    <cellStyle name="Percent 17 4" xfId="11247"/>
    <cellStyle name="Percent 18" xfId="11248"/>
    <cellStyle name="Percent 18 2" xfId="11249"/>
    <cellStyle name="Percent 18 2 2" xfId="11250"/>
    <cellStyle name="Percent 18 3" xfId="11251"/>
    <cellStyle name="Percent 18 3 2" xfId="11252"/>
    <cellStyle name="Percent 18 4" xfId="11253"/>
    <cellStyle name="Percent 19" xfId="11254"/>
    <cellStyle name="Percent 2" xfId="11255"/>
    <cellStyle name="Percent 2 10" xfId="11256"/>
    <cellStyle name="Percent 2 11" xfId="11257"/>
    <cellStyle name="Percent 2 2" xfId="11258"/>
    <cellStyle name="Percent 2 2 2" xfId="11259"/>
    <cellStyle name="Percent 2 2 3" xfId="11260"/>
    <cellStyle name="Percent 2 2 4" xfId="11261"/>
    <cellStyle name="Percent 2 3" xfId="11262"/>
    <cellStyle name="Percent 2 3 2" xfId="11263"/>
    <cellStyle name="Percent 2 4" xfId="11264"/>
    <cellStyle name="Percent 2 5" xfId="11265"/>
    <cellStyle name="Percent 2 5 2" xfId="11266"/>
    <cellStyle name="Percent 2 5 3" xfId="11267"/>
    <cellStyle name="Percent 2 5 3 2" xfId="11268"/>
    <cellStyle name="Percent 2 5 4" xfId="11269"/>
    <cellStyle name="Percent 2 5 4 2" xfId="11270"/>
    <cellStyle name="Percent 2 5 5" xfId="11271"/>
    <cellStyle name="Percent 2 5 6" xfId="11272"/>
    <cellStyle name="Percent 2 6" xfId="11273"/>
    <cellStyle name="Percent 2 6 2" xfId="11274"/>
    <cellStyle name="Percent 2 6 2 2" xfId="11275"/>
    <cellStyle name="Percent 2 6 3" xfId="11276"/>
    <cellStyle name="Percent 2 6 3 2" xfId="11277"/>
    <cellStyle name="Percent 2 6 4" xfId="11278"/>
    <cellStyle name="Percent 2 7" xfId="11279"/>
    <cellStyle name="Percent 2 8" xfId="11280"/>
    <cellStyle name="Percent 2 9" xfId="11281"/>
    <cellStyle name="Percent 20" xfId="11282"/>
    <cellStyle name="Percent 21" xfId="11283"/>
    <cellStyle name="Percent 22" xfId="11284"/>
    <cellStyle name="Percent 23" xfId="11285"/>
    <cellStyle name="Percent 24" xfId="11286"/>
    <cellStyle name="Percent 25" xfId="11287"/>
    <cellStyle name="Percent 3" xfId="11288"/>
    <cellStyle name="Percent 3 10" xfId="11289"/>
    <cellStyle name="Percent 3 11" xfId="11290"/>
    <cellStyle name="Percent 3 2" xfId="11291"/>
    <cellStyle name="Percent 3 2 2" xfId="11292"/>
    <cellStyle name="Percent 3 2 2 2" xfId="11293"/>
    <cellStyle name="Percent 3 2 2 2 2" xfId="11294"/>
    <cellStyle name="Percent 3 2 2 2 2 2" xfId="11295"/>
    <cellStyle name="Percent 3 2 2 2 3" xfId="11296"/>
    <cellStyle name="Percent 3 2 2 2 3 2" xfId="11297"/>
    <cellStyle name="Percent 3 2 2 2 4" xfId="11298"/>
    <cellStyle name="Percent 3 2 2 3" xfId="11299"/>
    <cellStyle name="Percent 3 2 2 3 2" xfId="11300"/>
    <cellStyle name="Percent 3 2 2 3 2 2" xfId="11301"/>
    <cellStyle name="Percent 3 2 2 3 3" xfId="11302"/>
    <cellStyle name="Percent 3 2 2 3 3 2" xfId="11303"/>
    <cellStyle name="Percent 3 2 2 3 4" xfId="11304"/>
    <cellStyle name="Percent 3 2 2 4" xfId="11305"/>
    <cellStyle name="Percent 3 2 2 4 2" xfId="11306"/>
    <cellStyle name="Percent 3 2 2 4 2 2" xfId="11307"/>
    <cellStyle name="Percent 3 2 2 4 3" xfId="11308"/>
    <cellStyle name="Percent 3 2 2 4 3 2" xfId="11309"/>
    <cellStyle name="Percent 3 2 2 4 4" xfId="11310"/>
    <cellStyle name="Percent 3 2 2 5" xfId="11311"/>
    <cellStyle name="Percent 3 2 2 5 2" xfId="11312"/>
    <cellStyle name="Percent 3 2 2 6" xfId="11313"/>
    <cellStyle name="Percent 3 2 2 6 2" xfId="11314"/>
    <cellStyle name="Percent 3 2 2 7" xfId="11315"/>
    <cellStyle name="Percent 3 2 2 8" xfId="11316"/>
    <cellStyle name="Percent 3 2 3" xfId="11317"/>
    <cellStyle name="Percent 3 2 3 2" xfId="11318"/>
    <cellStyle name="Percent 3 2 3 2 2" xfId="11319"/>
    <cellStyle name="Percent 3 2 3 3" xfId="11320"/>
    <cellStyle name="Percent 3 2 3 3 2" xfId="11321"/>
    <cellStyle name="Percent 3 2 3 4" xfId="11322"/>
    <cellStyle name="Percent 3 2 4" xfId="11323"/>
    <cellStyle name="Percent 3 2 4 2" xfId="11324"/>
    <cellStyle name="Percent 3 2 4 2 2" xfId="11325"/>
    <cellStyle name="Percent 3 2 4 3" xfId="11326"/>
    <cellStyle name="Percent 3 2 4 3 2" xfId="11327"/>
    <cellStyle name="Percent 3 2 4 4" xfId="11328"/>
    <cellStyle name="Percent 3 2 5" xfId="11329"/>
    <cellStyle name="Percent 3 2 5 2" xfId="11330"/>
    <cellStyle name="Percent 3 2 5 2 2" xfId="11331"/>
    <cellStyle name="Percent 3 2 5 3" xfId="11332"/>
    <cellStyle name="Percent 3 2 5 3 2" xfId="11333"/>
    <cellStyle name="Percent 3 2 5 4" xfId="11334"/>
    <cellStyle name="Percent 3 2 6" xfId="11335"/>
    <cellStyle name="Percent 3 2 7" xfId="11336"/>
    <cellStyle name="Percent 3 2 8" xfId="11337"/>
    <cellStyle name="Percent 3 3" xfId="11338"/>
    <cellStyle name="Percent 3 3 2" xfId="11339"/>
    <cellStyle name="Percent 3 3 2 2" xfId="11340"/>
    <cellStyle name="Percent 3 3 2 2 2" xfId="11341"/>
    <cellStyle name="Percent 3 3 2 2 2 2" xfId="11342"/>
    <cellStyle name="Percent 3 3 2 2 3" xfId="11343"/>
    <cellStyle name="Percent 3 3 2 2 3 2" xfId="11344"/>
    <cellStyle name="Percent 3 3 2 2 4" xfId="11345"/>
    <cellStyle name="Percent 3 3 2 3" xfId="11346"/>
    <cellStyle name="Percent 3 3 2 3 2" xfId="11347"/>
    <cellStyle name="Percent 3 3 2 3 2 2" xfId="11348"/>
    <cellStyle name="Percent 3 3 2 3 3" xfId="11349"/>
    <cellStyle name="Percent 3 3 2 3 3 2" xfId="11350"/>
    <cellStyle name="Percent 3 3 2 3 4" xfId="11351"/>
    <cellStyle name="Percent 3 3 2 4" xfId="11352"/>
    <cellStyle name="Percent 3 3 2 4 2" xfId="11353"/>
    <cellStyle name="Percent 3 3 2 4 2 2" xfId="11354"/>
    <cellStyle name="Percent 3 3 2 4 3" xfId="11355"/>
    <cellStyle name="Percent 3 3 2 4 3 2" xfId="11356"/>
    <cellStyle name="Percent 3 3 2 4 4" xfId="11357"/>
    <cellStyle name="Percent 3 3 2 5" xfId="11358"/>
    <cellStyle name="Percent 3 3 2 5 2" xfId="11359"/>
    <cellStyle name="Percent 3 3 2 6" xfId="11360"/>
    <cellStyle name="Percent 3 3 2 6 2" xfId="11361"/>
    <cellStyle name="Percent 3 3 2 7" xfId="11362"/>
    <cellStyle name="Percent 3 3 2 8" xfId="11363"/>
    <cellStyle name="Percent 3 3 3" xfId="11364"/>
    <cellStyle name="Percent 3 3 3 2" xfId="11365"/>
    <cellStyle name="Percent 3 3 3 2 2" xfId="11366"/>
    <cellStyle name="Percent 3 3 3 3" xfId="11367"/>
    <cellStyle name="Percent 3 3 3 3 2" xfId="11368"/>
    <cellStyle name="Percent 3 3 3 4" xfId="11369"/>
    <cellStyle name="Percent 3 3 4" xfId="11370"/>
    <cellStyle name="Percent 3 3 4 2" xfId="11371"/>
    <cellStyle name="Percent 3 3 4 2 2" xfId="11372"/>
    <cellStyle name="Percent 3 3 4 3" xfId="11373"/>
    <cellStyle name="Percent 3 3 4 3 2" xfId="11374"/>
    <cellStyle name="Percent 3 3 4 4" xfId="11375"/>
    <cellStyle name="Percent 3 3 5" xfId="11376"/>
    <cellStyle name="Percent 3 3 5 2" xfId="11377"/>
    <cellStyle name="Percent 3 3 5 2 2" xfId="11378"/>
    <cellStyle name="Percent 3 3 5 3" xfId="11379"/>
    <cellStyle name="Percent 3 3 5 3 2" xfId="11380"/>
    <cellStyle name="Percent 3 3 5 4" xfId="11381"/>
    <cellStyle name="Percent 3 3 6" xfId="11382"/>
    <cellStyle name="Percent 3 3 6 2" xfId="11383"/>
    <cellStyle name="Percent 3 3 7" xfId="11384"/>
    <cellStyle name="Percent 3 3 7 2" xfId="11385"/>
    <cellStyle name="Percent 3 3 8" xfId="11386"/>
    <cellStyle name="Percent 3 3 9" xfId="11387"/>
    <cellStyle name="Percent 3 4" xfId="11388"/>
    <cellStyle name="Percent 3 4 2" xfId="11389"/>
    <cellStyle name="Percent 3 4 2 2" xfId="11390"/>
    <cellStyle name="Percent 3 4 2 2 2" xfId="11391"/>
    <cellStyle name="Percent 3 4 2 3" xfId="11392"/>
    <cellStyle name="Percent 3 4 2 3 2" xfId="11393"/>
    <cellStyle name="Percent 3 4 2 4" xfId="11394"/>
    <cellStyle name="Percent 3 4 3" xfId="11395"/>
    <cellStyle name="Percent 3 4 3 2" xfId="11396"/>
    <cellStyle name="Percent 3 4 3 2 2" xfId="11397"/>
    <cellStyle name="Percent 3 4 3 3" xfId="11398"/>
    <cellStyle name="Percent 3 4 3 3 2" xfId="11399"/>
    <cellStyle name="Percent 3 4 3 4" xfId="11400"/>
    <cellStyle name="Percent 3 4 4" xfId="11401"/>
    <cellStyle name="Percent 3 4 4 2" xfId="11402"/>
    <cellStyle name="Percent 3 4 4 2 2" xfId="11403"/>
    <cellStyle name="Percent 3 4 4 3" xfId="11404"/>
    <cellStyle name="Percent 3 4 4 3 2" xfId="11405"/>
    <cellStyle name="Percent 3 4 4 4" xfId="11406"/>
    <cellStyle name="Percent 3 4 5" xfId="11407"/>
    <cellStyle name="Percent 3 4 5 2" xfId="11408"/>
    <cellStyle name="Percent 3 4 6" xfId="11409"/>
    <cellStyle name="Percent 3 4 6 2" xfId="11410"/>
    <cellStyle name="Percent 3 4 7" xfId="11411"/>
    <cellStyle name="Percent 3 4 8" xfId="11412"/>
    <cellStyle name="Percent 3 5" xfId="11413"/>
    <cellStyle name="Percent 3 5 2" xfId="11414"/>
    <cellStyle name="Percent 3 5 3" xfId="11415"/>
    <cellStyle name="Percent 3 5 3 2" xfId="11416"/>
    <cellStyle name="Percent 3 5 4" xfId="11417"/>
    <cellStyle name="Percent 3 5 4 2" xfId="11418"/>
    <cellStyle name="Percent 3 5 5" xfId="11419"/>
    <cellStyle name="Percent 3 6" xfId="11420"/>
    <cellStyle name="Percent 3 6 2" xfId="11421"/>
    <cellStyle name="Percent 3 6 2 2" xfId="11422"/>
    <cellStyle name="Percent 3 6 3" xfId="11423"/>
    <cellStyle name="Percent 3 6 3 2" xfId="11424"/>
    <cellStyle name="Percent 3 6 4" xfId="11425"/>
    <cellStyle name="Percent 3 7" xfId="11426"/>
    <cellStyle name="Percent 3 8" xfId="11427"/>
    <cellStyle name="Percent 3 8 2" xfId="11428"/>
    <cellStyle name="Percent 3 8 2 2" xfId="11429"/>
    <cellStyle name="Percent 3 8 3" xfId="11430"/>
    <cellStyle name="Percent 3 8 3 2" xfId="11431"/>
    <cellStyle name="Percent 3 8 4" xfId="11432"/>
    <cellStyle name="Percent 3 9" xfId="11433"/>
    <cellStyle name="Percent 4" xfId="11434"/>
    <cellStyle name="Percent 4 10" xfId="11435"/>
    <cellStyle name="Percent 4 11" xfId="11436"/>
    <cellStyle name="Percent 4 12" xfId="11437"/>
    <cellStyle name="Percent 4 2" xfId="11438"/>
    <cellStyle name="Percent 4 2 10" xfId="11439"/>
    <cellStyle name="Percent 4 2 2" xfId="11440"/>
    <cellStyle name="Percent 4 2 2 2" xfId="11441"/>
    <cellStyle name="Percent 4 2 2 2 2" xfId="11442"/>
    <cellStyle name="Percent 4 2 2 2 2 2" xfId="11443"/>
    <cellStyle name="Percent 4 2 2 2 3" xfId="11444"/>
    <cellStyle name="Percent 4 2 2 2 3 2" xfId="11445"/>
    <cellStyle name="Percent 4 2 2 2 4" xfId="11446"/>
    <cellStyle name="Percent 4 2 2 3" xfId="11447"/>
    <cellStyle name="Percent 4 2 2 3 2" xfId="11448"/>
    <cellStyle name="Percent 4 2 2 3 2 2" xfId="11449"/>
    <cellStyle name="Percent 4 2 2 3 3" xfId="11450"/>
    <cellStyle name="Percent 4 2 2 3 3 2" xfId="11451"/>
    <cellStyle name="Percent 4 2 2 3 4" xfId="11452"/>
    <cellStyle name="Percent 4 2 2 4" xfId="11453"/>
    <cellStyle name="Percent 4 2 2 4 2" xfId="11454"/>
    <cellStyle name="Percent 4 2 2 4 2 2" xfId="11455"/>
    <cellStyle name="Percent 4 2 2 4 3" xfId="11456"/>
    <cellStyle name="Percent 4 2 2 4 3 2" xfId="11457"/>
    <cellStyle name="Percent 4 2 2 4 4" xfId="11458"/>
    <cellStyle name="Percent 4 2 2 5" xfId="11459"/>
    <cellStyle name="Percent 4 2 2 5 2" xfId="11460"/>
    <cellStyle name="Percent 4 2 2 6" xfId="11461"/>
    <cellStyle name="Percent 4 2 2 6 2" xfId="11462"/>
    <cellStyle name="Percent 4 2 2 7" xfId="11463"/>
    <cellStyle name="Percent 4 2 2 8" xfId="11464"/>
    <cellStyle name="Percent 4 2 3" xfId="11465"/>
    <cellStyle name="Percent 4 2 3 2" xfId="11466"/>
    <cellStyle name="Percent 4 2 3 2 2" xfId="11467"/>
    <cellStyle name="Percent 4 2 3 3" xfId="11468"/>
    <cellStyle name="Percent 4 2 3 3 2" xfId="11469"/>
    <cellStyle name="Percent 4 2 3 4" xfId="11470"/>
    <cellStyle name="Percent 4 2 4" xfId="11471"/>
    <cellStyle name="Percent 4 2 4 2" xfId="11472"/>
    <cellStyle name="Percent 4 2 4 2 2" xfId="11473"/>
    <cellStyle name="Percent 4 2 4 3" xfId="11474"/>
    <cellStyle name="Percent 4 2 4 3 2" xfId="11475"/>
    <cellStyle name="Percent 4 2 4 4" xfId="11476"/>
    <cellStyle name="Percent 4 2 5" xfId="11477"/>
    <cellStyle name="Percent 4 2 5 2" xfId="11478"/>
    <cellStyle name="Percent 4 2 5 2 2" xfId="11479"/>
    <cellStyle name="Percent 4 2 5 3" xfId="11480"/>
    <cellStyle name="Percent 4 2 5 3 2" xfId="11481"/>
    <cellStyle name="Percent 4 2 5 4" xfId="11482"/>
    <cellStyle name="Percent 4 2 6" xfId="11483"/>
    <cellStyle name="Percent 4 2 6 2" xfId="11484"/>
    <cellStyle name="Percent 4 2 7" xfId="11485"/>
    <cellStyle name="Percent 4 2 7 2" xfId="11486"/>
    <cellStyle name="Percent 4 2 8" xfId="11487"/>
    <cellStyle name="Percent 4 2 9" xfId="11488"/>
    <cellStyle name="Percent 4 3" xfId="11489"/>
    <cellStyle name="Percent 4 3 2" xfId="11490"/>
    <cellStyle name="Percent 4 3 2 2" xfId="11491"/>
    <cellStyle name="Percent 4 3 2 2 2" xfId="11492"/>
    <cellStyle name="Percent 4 3 2 2 2 2" xfId="11493"/>
    <cellStyle name="Percent 4 3 2 2 3" xfId="11494"/>
    <cellStyle name="Percent 4 3 2 2 3 2" xfId="11495"/>
    <cellStyle name="Percent 4 3 2 2 4" xfId="11496"/>
    <cellStyle name="Percent 4 3 2 3" xfId="11497"/>
    <cellStyle name="Percent 4 3 2 3 2" xfId="11498"/>
    <cellStyle name="Percent 4 3 2 3 2 2" xfId="11499"/>
    <cellStyle name="Percent 4 3 2 3 3" xfId="11500"/>
    <cellStyle name="Percent 4 3 2 3 3 2" xfId="11501"/>
    <cellStyle name="Percent 4 3 2 3 4" xfId="11502"/>
    <cellStyle name="Percent 4 3 2 4" xfId="11503"/>
    <cellStyle name="Percent 4 3 2 4 2" xfId="11504"/>
    <cellStyle name="Percent 4 3 2 4 2 2" xfId="11505"/>
    <cellStyle name="Percent 4 3 2 4 3" xfId="11506"/>
    <cellStyle name="Percent 4 3 2 4 3 2" xfId="11507"/>
    <cellStyle name="Percent 4 3 2 4 4" xfId="11508"/>
    <cellStyle name="Percent 4 3 2 5" xfId="11509"/>
    <cellStyle name="Percent 4 3 2 5 2" xfId="11510"/>
    <cellStyle name="Percent 4 3 2 6" xfId="11511"/>
    <cellStyle name="Percent 4 3 2 6 2" xfId="11512"/>
    <cellStyle name="Percent 4 3 2 7" xfId="11513"/>
    <cellStyle name="Percent 4 3 2 8" xfId="11514"/>
    <cellStyle name="Percent 4 3 3" xfId="11515"/>
    <cellStyle name="Percent 4 3 3 2" xfId="11516"/>
    <cellStyle name="Percent 4 3 3 2 2" xfId="11517"/>
    <cellStyle name="Percent 4 3 3 3" xfId="11518"/>
    <cellStyle name="Percent 4 3 3 3 2" xfId="11519"/>
    <cellStyle name="Percent 4 3 3 4" xfId="11520"/>
    <cellStyle name="Percent 4 3 4" xfId="11521"/>
    <cellStyle name="Percent 4 3 4 2" xfId="11522"/>
    <cellStyle name="Percent 4 3 4 2 2" xfId="11523"/>
    <cellStyle name="Percent 4 3 4 3" xfId="11524"/>
    <cellStyle name="Percent 4 3 4 3 2" xfId="11525"/>
    <cellStyle name="Percent 4 3 4 4" xfId="11526"/>
    <cellStyle name="Percent 4 3 5" xfId="11527"/>
    <cellStyle name="Percent 4 3 5 2" xfId="11528"/>
    <cellStyle name="Percent 4 3 5 2 2" xfId="11529"/>
    <cellStyle name="Percent 4 3 5 3" xfId="11530"/>
    <cellStyle name="Percent 4 3 5 3 2" xfId="11531"/>
    <cellStyle name="Percent 4 3 5 4" xfId="11532"/>
    <cellStyle name="Percent 4 3 6" xfId="11533"/>
    <cellStyle name="Percent 4 3 6 2" xfId="11534"/>
    <cellStyle name="Percent 4 3 7" xfId="11535"/>
    <cellStyle name="Percent 4 3 7 2" xfId="11536"/>
    <cellStyle name="Percent 4 3 8" xfId="11537"/>
    <cellStyle name="Percent 4 3 9" xfId="11538"/>
    <cellStyle name="Percent 4 4" xfId="11539"/>
    <cellStyle name="Percent 4 4 2" xfId="11540"/>
    <cellStyle name="Percent 4 4 2 2" xfId="11541"/>
    <cellStyle name="Percent 4 4 2 2 2" xfId="11542"/>
    <cellStyle name="Percent 4 4 2 3" xfId="11543"/>
    <cellStyle name="Percent 4 4 2 3 2" xfId="11544"/>
    <cellStyle name="Percent 4 4 2 4" xfId="11545"/>
    <cellStyle name="Percent 4 4 3" xfId="11546"/>
    <cellStyle name="Percent 4 4 3 2" xfId="11547"/>
    <cellStyle name="Percent 4 4 3 2 2" xfId="11548"/>
    <cellStyle name="Percent 4 4 3 3" xfId="11549"/>
    <cellStyle name="Percent 4 4 3 3 2" xfId="11550"/>
    <cellStyle name="Percent 4 4 3 4" xfId="11551"/>
    <cellStyle name="Percent 4 4 4" xfId="11552"/>
    <cellStyle name="Percent 4 4 4 2" xfId="11553"/>
    <cellStyle name="Percent 4 4 4 2 2" xfId="11554"/>
    <cellStyle name="Percent 4 4 4 3" xfId="11555"/>
    <cellStyle name="Percent 4 4 4 3 2" xfId="11556"/>
    <cellStyle name="Percent 4 4 4 4" xfId="11557"/>
    <cellStyle name="Percent 4 4 5" xfId="11558"/>
    <cellStyle name="Percent 4 4 5 2" xfId="11559"/>
    <cellStyle name="Percent 4 4 6" xfId="11560"/>
    <cellStyle name="Percent 4 4 6 2" xfId="11561"/>
    <cellStyle name="Percent 4 4 7" xfId="11562"/>
    <cellStyle name="Percent 4 4 8" xfId="11563"/>
    <cellStyle name="Percent 4 5" xfId="11564"/>
    <cellStyle name="Percent 4 5 2" xfId="11565"/>
    <cellStyle name="Percent 4 5 2 2" xfId="11566"/>
    <cellStyle name="Percent 4 5 3" xfId="11567"/>
    <cellStyle name="Percent 4 5 3 2" xfId="11568"/>
    <cellStyle name="Percent 4 5 4" xfId="11569"/>
    <cellStyle name="Percent 4 6" xfId="11570"/>
    <cellStyle name="Percent 4 6 2" xfId="11571"/>
    <cellStyle name="Percent 4 6 2 2" xfId="11572"/>
    <cellStyle name="Percent 4 6 3" xfId="11573"/>
    <cellStyle name="Percent 4 6 3 2" xfId="11574"/>
    <cellStyle name="Percent 4 6 4" xfId="11575"/>
    <cellStyle name="Percent 4 7" xfId="11576"/>
    <cellStyle name="Percent 4 8" xfId="11577"/>
    <cellStyle name="Percent 4 8 2" xfId="11578"/>
    <cellStyle name="Percent 4 8 2 2" xfId="11579"/>
    <cellStyle name="Percent 4 8 3" xfId="11580"/>
    <cellStyle name="Percent 4 8 3 2" xfId="11581"/>
    <cellStyle name="Percent 4 8 4" xfId="11582"/>
    <cellStyle name="Percent 4 9" xfId="11583"/>
    <cellStyle name="Percent 5" xfId="11584"/>
    <cellStyle name="Percent 5 10" xfId="11585"/>
    <cellStyle name="Percent 5 11" xfId="11586"/>
    <cellStyle name="Percent 5 12" xfId="11587"/>
    <cellStyle name="Percent 5 2" xfId="11588"/>
    <cellStyle name="Percent 5 2 2" xfId="11589"/>
    <cellStyle name="Percent 5 2 2 2" xfId="11590"/>
    <cellStyle name="Percent 5 2 2 2 2" xfId="11591"/>
    <cellStyle name="Percent 5 2 2 2 2 2" xfId="11592"/>
    <cellStyle name="Percent 5 2 2 2 3" xfId="11593"/>
    <cellStyle name="Percent 5 2 2 2 3 2" xfId="11594"/>
    <cellStyle name="Percent 5 2 2 2 4" xfId="11595"/>
    <cellStyle name="Percent 5 2 2 3" xfId="11596"/>
    <cellStyle name="Percent 5 2 2 3 2" xfId="11597"/>
    <cellStyle name="Percent 5 2 2 3 2 2" xfId="11598"/>
    <cellStyle name="Percent 5 2 2 3 3" xfId="11599"/>
    <cellStyle name="Percent 5 2 2 3 3 2" xfId="11600"/>
    <cellStyle name="Percent 5 2 2 3 4" xfId="11601"/>
    <cellStyle name="Percent 5 2 2 4" xfId="11602"/>
    <cellStyle name="Percent 5 2 2 4 2" xfId="11603"/>
    <cellStyle name="Percent 5 2 2 4 2 2" xfId="11604"/>
    <cellStyle name="Percent 5 2 2 4 3" xfId="11605"/>
    <cellStyle name="Percent 5 2 2 4 3 2" xfId="11606"/>
    <cellStyle name="Percent 5 2 2 4 4" xfId="11607"/>
    <cellStyle name="Percent 5 2 2 5" xfId="11608"/>
    <cellStyle name="Percent 5 2 2 5 2" xfId="11609"/>
    <cellStyle name="Percent 5 2 2 6" xfId="11610"/>
    <cellStyle name="Percent 5 2 2 6 2" xfId="11611"/>
    <cellStyle name="Percent 5 2 2 7" xfId="11612"/>
    <cellStyle name="Percent 5 2 2 8" xfId="11613"/>
    <cellStyle name="Percent 5 2 3" xfId="11614"/>
    <cellStyle name="Percent 5 2 3 2" xfId="11615"/>
    <cellStyle name="Percent 5 2 3 2 2" xfId="11616"/>
    <cellStyle name="Percent 5 2 3 3" xfId="11617"/>
    <cellStyle name="Percent 5 2 3 3 2" xfId="11618"/>
    <cellStyle name="Percent 5 2 3 4" xfId="11619"/>
    <cellStyle name="Percent 5 2 4" xfId="11620"/>
    <cellStyle name="Percent 5 2 4 2" xfId="11621"/>
    <cellStyle name="Percent 5 2 4 2 2" xfId="11622"/>
    <cellStyle name="Percent 5 2 4 3" xfId="11623"/>
    <cellStyle name="Percent 5 2 4 3 2" xfId="11624"/>
    <cellStyle name="Percent 5 2 4 4" xfId="11625"/>
    <cellStyle name="Percent 5 2 5" xfId="11626"/>
    <cellStyle name="Percent 5 2 5 2" xfId="11627"/>
    <cellStyle name="Percent 5 2 5 2 2" xfId="11628"/>
    <cellStyle name="Percent 5 2 5 3" xfId="11629"/>
    <cellStyle name="Percent 5 2 5 3 2" xfId="11630"/>
    <cellStyle name="Percent 5 2 5 4" xfId="11631"/>
    <cellStyle name="Percent 5 2 6" xfId="11632"/>
    <cellStyle name="Percent 5 2 6 2" xfId="11633"/>
    <cellStyle name="Percent 5 2 7" xfId="11634"/>
    <cellStyle name="Percent 5 2 7 2" xfId="11635"/>
    <cellStyle name="Percent 5 2 8" xfId="11636"/>
    <cellStyle name="Percent 5 2 9" xfId="11637"/>
    <cellStyle name="Percent 5 3" xfId="11638"/>
    <cellStyle name="Percent 5 3 2" xfId="11639"/>
    <cellStyle name="Percent 5 3 2 2" xfId="11640"/>
    <cellStyle name="Percent 5 3 2 2 2" xfId="11641"/>
    <cellStyle name="Percent 5 3 2 2 2 2" xfId="11642"/>
    <cellStyle name="Percent 5 3 2 2 3" xfId="11643"/>
    <cellStyle name="Percent 5 3 2 2 3 2" xfId="11644"/>
    <cellStyle name="Percent 5 3 2 2 4" xfId="11645"/>
    <cellStyle name="Percent 5 3 2 3" xfId="11646"/>
    <cellStyle name="Percent 5 3 2 3 2" xfId="11647"/>
    <cellStyle name="Percent 5 3 2 3 2 2" xfId="11648"/>
    <cellStyle name="Percent 5 3 2 3 3" xfId="11649"/>
    <cellStyle name="Percent 5 3 2 3 3 2" xfId="11650"/>
    <cellStyle name="Percent 5 3 2 3 4" xfId="11651"/>
    <cellStyle name="Percent 5 3 2 4" xfId="11652"/>
    <cellStyle name="Percent 5 3 2 4 2" xfId="11653"/>
    <cellStyle name="Percent 5 3 2 4 2 2" xfId="11654"/>
    <cellStyle name="Percent 5 3 2 4 3" xfId="11655"/>
    <cellStyle name="Percent 5 3 2 4 3 2" xfId="11656"/>
    <cellStyle name="Percent 5 3 2 4 4" xfId="11657"/>
    <cellStyle name="Percent 5 3 2 5" xfId="11658"/>
    <cellStyle name="Percent 5 3 2 5 2" xfId="11659"/>
    <cellStyle name="Percent 5 3 2 6" xfId="11660"/>
    <cellStyle name="Percent 5 3 2 6 2" xfId="11661"/>
    <cellStyle name="Percent 5 3 2 7" xfId="11662"/>
    <cellStyle name="Percent 5 3 2 8" xfId="11663"/>
    <cellStyle name="Percent 5 3 3" xfId="11664"/>
    <cellStyle name="Percent 5 3 3 2" xfId="11665"/>
    <cellStyle name="Percent 5 3 3 2 2" xfId="11666"/>
    <cellStyle name="Percent 5 3 3 3" xfId="11667"/>
    <cellStyle name="Percent 5 3 3 3 2" xfId="11668"/>
    <cellStyle name="Percent 5 3 3 4" xfId="11669"/>
    <cellStyle name="Percent 5 3 4" xfId="11670"/>
    <cellStyle name="Percent 5 3 4 2" xfId="11671"/>
    <cellStyle name="Percent 5 3 4 2 2" xfId="11672"/>
    <cellStyle name="Percent 5 3 4 3" xfId="11673"/>
    <cellStyle name="Percent 5 3 4 3 2" xfId="11674"/>
    <cellStyle name="Percent 5 3 4 4" xfId="11675"/>
    <cellStyle name="Percent 5 3 5" xfId="11676"/>
    <cellStyle name="Percent 5 3 5 2" xfId="11677"/>
    <cellStyle name="Percent 5 3 5 2 2" xfId="11678"/>
    <cellStyle name="Percent 5 3 5 3" xfId="11679"/>
    <cellStyle name="Percent 5 3 5 3 2" xfId="11680"/>
    <cellStyle name="Percent 5 3 5 4" xfId="11681"/>
    <cellStyle name="Percent 5 3 6" xfId="11682"/>
    <cellStyle name="Percent 5 3 6 2" xfId="11683"/>
    <cellStyle name="Percent 5 3 7" xfId="11684"/>
    <cellStyle name="Percent 5 3 7 2" xfId="11685"/>
    <cellStyle name="Percent 5 3 8" xfId="11686"/>
    <cellStyle name="Percent 5 3 9" xfId="11687"/>
    <cellStyle name="Percent 5 4" xfId="11688"/>
    <cellStyle name="Percent 5 4 2" xfId="11689"/>
    <cellStyle name="Percent 5 4 2 2" xfId="11690"/>
    <cellStyle name="Percent 5 4 2 2 2" xfId="11691"/>
    <cellStyle name="Percent 5 4 2 3" xfId="11692"/>
    <cellStyle name="Percent 5 4 2 3 2" xfId="11693"/>
    <cellStyle name="Percent 5 4 2 4" xfId="11694"/>
    <cellStyle name="Percent 5 4 3" xfId="11695"/>
    <cellStyle name="Percent 5 4 3 2" xfId="11696"/>
    <cellStyle name="Percent 5 4 3 2 2" xfId="11697"/>
    <cellStyle name="Percent 5 4 3 3" xfId="11698"/>
    <cellStyle name="Percent 5 4 3 3 2" xfId="11699"/>
    <cellStyle name="Percent 5 4 3 4" xfId="11700"/>
    <cellStyle name="Percent 5 4 4" xfId="11701"/>
    <cellStyle name="Percent 5 4 4 2" xfId="11702"/>
    <cellStyle name="Percent 5 4 4 2 2" xfId="11703"/>
    <cellStyle name="Percent 5 4 4 3" xfId="11704"/>
    <cellStyle name="Percent 5 4 4 3 2" xfId="11705"/>
    <cellStyle name="Percent 5 4 4 4" xfId="11706"/>
    <cellStyle name="Percent 5 4 5" xfId="11707"/>
    <cellStyle name="Percent 5 4 5 2" xfId="11708"/>
    <cellStyle name="Percent 5 4 6" xfId="11709"/>
    <cellStyle name="Percent 5 4 6 2" xfId="11710"/>
    <cellStyle name="Percent 5 4 7" xfId="11711"/>
    <cellStyle name="Percent 5 4 8" xfId="11712"/>
    <cellStyle name="Percent 5 5" xfId="11713"/>
    <cellStyle name="Percent 5 5 2" xfId="11714"/>
    <cellStyle name="Percent 5 5 2 2" xfId="11715"/>
    <cellStyle name="Percent 5 5 3" xfId="11716"/>
    <cellStyle name="Percent 5 5 3 2" xfId="11717"/>
    <cellStyle name="Percent 5 5 4" xfId="11718"/>
    <cellStyle name="Percent 5 6" xfId="11719"/>
    <cellStyle name="Percent 5 6 2" xfId="11720"/>
    <cellStyle name="Percent 5 6 2 2" xfId="11721"/>
    <cellStyle name="Percent 5 6 3" xfId="11722"/>
    <cellStyle name="Percent 5 6 3 2" xfId="11723"/>
    <cellStyle name="Percent 5 6 4" xfId="11724"/>
    <cellStyle name="Percent 5 7" xfId="11725"/>
    <cellStyle name="Percent 5 7 2" xfId="11726"/>
    <cellStyle name="Percent 5 7 2 2" xfId="11727"/>
    <cellStyle name="Percent 5 7 3" xfId="11728"/>
    <cellStyle name="Percent 5 7 3 2" xfId="11729"/>
    <cellStyle name="Percent 5 7 4" xfId="11730"/>
    <cellStyle name="Percent 5 8" xfId="11731"/>
    <cellStyle name="Percent 5 8 2" xfId="11732"/>
    <cellStyle name="Percent 5 9" xfId="11733"/>
    <cellStyle name="Percent 5 9 2" xfId="11734"/>
    <cellStyle name="Percent 6" xfId="11735"/>
    <cellStyle name="Percent 6 2" xfId="11736"/>
    <cellStyle name="Percent 7" xfId="11737"/>
    <cellStyle name="Percent 8" xfId="11738"/>
    <cellStyle name="Percent 8 2" xfId="11739"/>
    <cellStyle name="Percent 8 2 2" xfId="11740"/>
    <cellStyle name="Percent 8 2 2 2" xfId="11741"/>
    <cellStyle name="Percent 8 2 2 2 2" xfId="11742"/>
    <cellStyle name="Percent 8 2 2 3" xfId="11743"/>
    <cellStyle name="Percent 8 2 2 3 2" xfId="11744"/>
    <cellStyle name="Percent 8 2 2 4" xfId="11745"/>
    <cellStyle name="Percent 8 2 3" xfId="11746"/>
    <cellStyle name="Percent 8 2 3 2" xfId="11747"/>
    <cellStyle name="Percent 8 2 3 2 2" xfId="11748"/>
    <cellStyle name="Percent 8 2 3 3" xfId="11749"/>
    <cellStyle name="Percent 8 2 3 3 2" xfId="11750"/>
    <cellStyle name="Percent 8 2 3 4" xfId="11751"/>
    <cellStyle name="Percent 8 2 4" xfId="11752"/>
    <cellStyle name="Percent 8 2 4 2" xfId="11753"/>
    <cellStyle name="Percent 8 2 4 2 2" xfId="11754"/>
    <cellStyle name="Percent 8 2 4 3" xfId="11755"/>
    <cellStyle name="Percent 8 2 4 3 2" xfId="11756"/>
    <cellStyle name="Percent 8 2 4 4" xfId="11757"/>
    <cellStyle name="Percent 8 2 5" xfId="11758"/>
    <cellStyle name="Percent 8 2 6" xfId="11759"/>
    <cellStyle name="Percent 8 2 7" xfId="11760"/>
    <cellStyle name="Percent 8 3" xfId="11761"/>
    <cellStyle name="Percent 8 3 2" xfId="11762"/>
    <cellStyle name="Percent 8 3 2 2" xfId="11763"/>
    <cellStyle name="Percent 8 3 3" xfId="11764"/>
    <cellStyle name="Percent 8 3 3 2" xfId="11765"/>
    <cellStyle name="Percent 8 3 4" xfId="11766"/>
    <cellStyle name="Percent 8 4" xfId="11767"/>
    <cellStyle name="Percent 8 4 2" xfId="11768"/>
    <cellStyle name="Percent 8 4 2 2" xfId="11769"/>
    <cellStyle name="Percent 8 4 3" xfId="11770"/>
    <cellStyle name="Percent 8 4 3 2" xfId="11771"/>
    <cellStyle name="Percent 8 4 4" xfId="11772"/>
    <cellStyle name="Percent 8 5" xfId="11773"/>
    <cellStyle name="Percent 8 5 2" xfId="11774"/>
    <cellStyle name="Percent 8 5 2 2" xfId="11775"/>
    <cellStyle name="Percent 8 5 3" xfId="11776"/>
    <cellStyle name="Percent 8 5 3 2" xfId="11777"/>
    <cellStyle name="Percent 8 5 4" xfId="11778"/>
    <cellStyle name="Percent 8 6" xfId="11779"/>
    <cellStyle name="Percent 8 6 2" xfId="11780"/>
    <cellStyle name="Percent 8 7" xfId="11781"/>
    <cellStyle name="Percent 8 7 2" xfId="11782"/>
    <cellStyle name="Percent 8 8" xfId="11783"/>
    <cellStyle name="Percent 8 9" xfId="11784"/>
    <cellStyle name="Percent 9" xfId="11785"/>
    <cellStyle name="Percent 9 2" xfId="11786"/>
    <cellStyle name="Percent 9 2 2" xfId="11787"/>
    <cellStyle name="Percent 9 2 2 2" xfId="11788"/>
    <cellStyle name="Percent 9 2 2 2 2" xfId="11789"/>
    <cellStyle name="Percent 9 2 2 3" xfId="11790"/>
    <cellStyle name="Percent 9 2 2 3 2" xfId="11791"/>
    <cellStyle name="Percent 9 2 2 4" xfId="11792"/>
    <cellStyle name="Percent 9 2 3" xfId="11793"/>
    <cellStyle name="Percent 9 2 3 2" xfId="11794"/>
    <cellStyle name="Percent 9 2 3 2 2" xfId="11795"/>
    <cellStyle name="Percent 9 2 3 3" xfId="11796"/>
    <cellStyle name="Percent 9 2 3 3 2" xfId="11797"/>
    <cellStyle name="Percent 9 2 3 4" xfId="11798"/>
    <cellStyle name="Percent 9 2 4" xfId="11799"/>
    <cellStyle name="Percent 9 2 4 2" xfId="11800"/>
    <cellStyle name="Percent 9 2 4 2 2" xfId="11801"/>
    <cellStyle name="Percent 9 2 4 3" xfId="11802"/>
    <cellStyle name="Percent 9 2 4 3 2" xfId="11803"/>
    <cellStyle name="Percent 9 2 4 4" xfId="11804"/>
    <cellStyle name="Percent 9 2 5" xfId="11805"/>
    <cellStyle name="Percent 9 2 6" xfId="11806"/>
    <cellStyle name="Percent 9 2 7" xfId="11807"/>
    <cellStyle name="Percent 9 3" xfId="11808"/>
    <cellStyle name="Percent 9 3 2" xfId="11809"/>
    <cellStyle name="Percent 9 3 2 2" xfId="11810"/>
    <cellStyle name="Percent 9 3 3" xfId="11811"/>
    <cellStyle name="Percent 9 3 3 2" xfId="11812"/>
    <cellStyle name="Percent 9 3 4" xfId="11813"/>
    <cellStyle name="Percent 9 4" xfId="11814"/>
    <cellStyle name="Percent 9 4 2" xfId="11815"/>
    <cellStyle name="Percent 9 4 2 2" xfId="11816"/>
    <cellStyle name="Percent 9 4 3" xfId="11817"/>
    <cellStyle name="Percent 9 4 3 2" xfId="11818"/>
    <cellStyle name="Percent 9 4 4" xfId="11819"/>
    <cellStyle name="Percent 9 5" xfId="11820"/>
    <cellStyle name="Percent 9 5 2" xfId="11821"/>
    <cellStyle name="Percent 9 5 2 2" xfId="11822"/>
    <cellStyle name="Percent 9 5 3" xfId="11823"/>
    <cellStyle name="Percent 9 5 3 2" xfId="11824"/>
    <cellStyle name="Percent 9 5 4" xfId="11825"/>
    <cellStyle name="Percent 9 6" xfId="11826"/>
    <cellStyle name="Percent 9 7" xfId="11827"/>
    <cellStyle name="Percent 9 8" xfId="11828"/>
    <cellStyle name="Primary Input" xfId="11829"/>
    <cellStyle name="Primary Input 2" xfId="11830"/>
    <cellStyle name="Primary Input 2 2" xfId="11831"/>
    <cellStyle name="Primary Input 3" xfId="11832"/>
    <cellStyle name="Primary Input 3 2" xfId="11833"/>
    <cellStyle name="Primary Input 4" xfId="11834"/>
    <cellStyle name="Retrieval" xfId="11835"/>
    <cellStyle name="Retrieval 2" xfId="11836"/>
    <cellStyle name="Retrieval 2 2" xfId="11837"/>
    <cellStyle name="Retrieval 3" xfId="11838"/>
    <cellStyle name="Retrieval 3 2" xfId="11839"/>
    <cellStyle name="Retrieval 4" xfId="11840"/>
    <cellStyle name="Retrieval from Scenario Mgr" xfId="11841"/>
    <cellStyle name="Retrieval from Scenario Mgr 2" xfId="11842"/>
    <cellStyle name="Retrieval from Scenario Mgr 3" xfId="11843"/>
    <cellStyle name="Retrieval from Scenario Mgr 4" xfId="11844"/>
    <cellStyle name="SAPBEXaggData" xfId="11845"/>
    <cellStyle name="SAPBEXaggData 2" xfId="11846"/>
    <cellStyle name="SAPBEXaggData 3" xfId="11847"/>
    <cellStyle name="SAPBEXaggDataEmph" xfId="11848"/>
    <cellStyle name="SAPBEXaggDataEmph 2" xfId="11849"/>
    <cellStyle name="SAPBEXaggDataEmph 3" xfId="11850"/>
    <cellStyle name="SAPBEXaggItem" xfId="11851"/>
    <cellStyle name="SAPBEXaggItem 2" xfId="11852"/>
    <cellStyle name="SAPBEXaggItem 3" xfId="11853"/>
    <cellStyle name="SAPBEXaggItemX" xfId="11854"/>
    <cellStyle name="SAPBEXaggItemX 2" xfId="11855"/>
    <cellStyle name="SAPBEXchaText" xfId="11856"/>
    <cellStyle name="SAPBEXchaText 2" xfId="11857"/>
    <cellStyle name="SAPBEXchaText 2 2" xfId="11858"/>
    <cellStyle name="SAPBEXchaText 2 3" xfId="11859"/>
    <cellStyle name="SAPBEXchaText 3" xfId="11860"/>
    <cellStyle name="SAPBEXchaText 3 2" xfId="11861"/>
    <cellStyle name="SAPBEXchaText 4" xfId="11862"/>
    <cellStyle name="SAPBEXchaText 4 2" xfId="11863"/>
    <cellStyle name="SAPBEXchaText_2009 LOE and Capital Budget by Field v2" xfId="11864"/>
    <cellStyle name="SAPBEXexcBad7" xfId="11865"/>
    <cellStyle name="SAPBEXexcBad7 2" xfId="11866"/>
    <cellStyle name="SAPBEXexcBad7 3" xfId="11867"/>
    <cellStyle name="SAPBEXexcBad8" xfId="11868"/>
    <cellStyle name="SAPBEXexcBad8 2" xfId="11869"/>
    <cellStyle name="SAPBEXexcBad8 3" xfId="11870"/>
    <cellStyle name="SAPBEXexcBad9" xfId="11871"/>
    <cellStyle name="SAPBEXexcBad9 2" xfId="11872"/>
    <cellStyle name="SAPBEXexcBad9 3" xfId="11873"/>
    <cellStyle name="SAPBEXexcCritical4" xfId="11874"/>
    <cellStyle name="SAPBEXexcCritical4 2" xfId="11875"/>
    <cellStyle name="SAPBEXexcCritical4 3" xfId="11876"/>
    <cellStyle name="SAPBEXexcCritical5" xfId="11877"/>
    <cellStyle name="SAPBEXexcCritical5 2" xfId="11878"/>
    <cellStyle name="SAPBEXexcCritical5 3" xfId="11879"/>
    <cellStyle name="SAPBEXexcCritical6" xfId="11880"/>
    <cellStyle name="SAPBEXexcCritical6 2" xfId="11881"/>
    <cellStyle name="SAPBEXexcCritical6 3" xfId="11882"/>
    <cellStyle name="SAPBEXexcGood1" xfId="11883"/>
    <cellStyle name="SAPBEXexcGood1 2" xfId="11884"/>
    <cellStyle name="SAPBEXexcGood1 3" xfId="11885"/>
    <cellStyle name="SAPBEXexcGood2" xfId="11886"/>
    <cellStyle name="SAPBEXexcGood2 2" xfId="11887"/>
    <cellStyle name="SAPBEXexcGood2 3" xfId="11888"/>
    <cellStyle name="SAPBEXexcGood3" xfId="11889"/>
    <cellStyle name="SAPBEXexcGood3 2" xfId="11890"/>
    <cellStyle name="SAPBEXexcGood3 3" xfId="11891"/>
    <cellStyle name="SAPBEXfilterDrill" xfId="11892"/>
    <cellStyle name="SAPBEXfilterDrill 2" xfId="11893"/>
    <cellStyle name="SAPBEXfilterDrill 2 2" xfId="11894"/>
    <cellStyle name="SAPBEXfilterDrill 3" xfId="11895"/>
    <cellStyle name="SAPBEXfilterDrill 3 2" xfId="11896"/>
    <cellStyle name="SAPBEXfilterItem" xfId="11897"/>
    <cellStyle name="SAPBEXfilterItem 2" xfId="11898"/>
    <cellStyle name="SAPBEXfilterItem 2 2" xfId="11899"/>
    <cellStyle name="SAPBEXfilterItem 3" xfId="11900"/>
    <cellStyle name="SAPBEXfilterItem 3 2" xfId="11901"/>
    <cellStyle name="SAPBEXfilterText" xfId="11902"/>
    <cellStyle name="SAPBEXfilterText 2" xfId="11903"/>
    <cellStyle name="SAPBEXfilterText 3" xfId="11904"/>
    <cellStyle name="SAPBEXfilterText 4" xfId="11905"/>
    <cellStyle name="SAPBEXformats" xfId="11906"/>
    <cellStyle name="SAPBEXformats 2" xfId="11907"/>
    <cellStyle name="SAPBEXformats 2 2" xfId="11908"/>
    <cellStyle name="SAPBEXformats 3" xfId="11909"/>
    <cellStyle name="SAPBEXformats 3 2" xfId="11910"/>
    <cellStyle name="SAPBEXformats 4" xfId="11911"/>
    <cellStyle name="SAPBEXformats 4 2" xfId="11912"/>
    <cellStyle name="SAPBEXheaderItem" xfId="11913"/>
    <cellStyle name="SAPBEXheaderItem 2" xfId="11914"/>
    <cellStyle name="SAPBEXheaderItem 2 2" xfId="11915"/>
    <cellStyle name="SAPBEXheaderItem 3" xfId="11916"/>
    <cellStyle name="SAPBEXheaderItem 3 2" xfId="11917"/>
    <cellStyle name="SAPBEXheaderItem 4" xfId="11918"/>
    <cellStyle name="SAPBEXheaderItem 4 2" xfId="11919"/>
    <cellStyle name="SAPBEXheaderText" xfId="11920"/>
    <cellStyle name="SAPBEXheaderText 2" xfId="11921"/>
    <cellStyle name="SAPBEXheaderText 2 2" xfId="11922"/>
    <cellStyle name="SAPBEXheaderText 3" xfId="11923"/>
    <cellStyle name="SAPBEXheaderText 3 2" xfId="11924"/>
    <cellStyle name="SAPBEXheaderText 4" xfId="11925"/>
    <cellStyle name="SAPBEXheaderText 4 2" xfId="11926"/>
    <cellStyle name="SAPBEXHLevel0" xfId="11927"/>
    <cellStyle name="SAPBEXHLevel0 2" xfId="11928"/>
    <cellStyle name="SAPBEXHLevel0 2 2" xfId="11929"/>
    <cellStyle name="SAPBEXHLevel0 3" xfId="11930"/>
    <cellStyle name="SAPBEXHLevel0 3 2" xfId="11931"/>
    <cellStyle name="SAPBEXHLevel0 4" xfId="11932"/>
    <cellStyle name="SAPBEXHLevel0X" xfId="11933"/>
    <cellStyle name="SAPBEXHLevel0X 2" xfId="11934"/>
    <cellStyle name="SAPBEXHLevel0X 2 2" xfId="11935"/>
    <cellStyle name="SAPBEXHLevel0X 3" xfId="11936"/>
    <cellStyle name="SAPBEXHLevel0X 3 2" xfId="11937"/>
    <cellStyle name="SAPBEXHLevel0X 4" xfId="11938"/>
    <cellStyle name="SAPBEXHLevel1" xfId="11939"/>
    <cellStyle name="SAPBEXHLevel1 2" xfId="11940"/>
    <cellStyle name="SAPBEXHLevel1 2 2" xfId="11941"/>
    <cellStyle name="SAPBEXHLevel1 3" xfId="11942"/>
    <cellStyle name="SAPBEXHLevel1 3 2" xfId="11943"/>
    <cellStyle name="SAPBEXHLevel1 4" xfId="11944"/>
    <cellStyle name="SAPBEXHLevel1X" xfId="11945"/>
    <cellStyle name="SAPBEXHLevel1X 2" xfId="11946"/>
    <cellStyle name="SAPBEXHLevel1X 2 2" xfId="11947"/>
    <cellStyle name="SAPBEXHLevel1X 3" xfId="11948"/>
    <cellStyle name="SAPBEXHLevel1X 3 2" xfId="11949"/>
    <cellStyle name="SAPBEXHLevel1X 4" xfId="11950"/>
    <cellStyle name="SAPBEXHLevel2" xfId="11951"/>
    <cellStyle name="SAPBEXHLevel2 2" xfId="11952"/>
    <cellStyle name="SAPBEXHLevel2 2 2" xfId="11953"/>
    <cellStyle name="SAPBEXHLevel2 3" xfId="11954"/>
    <cellStyle name="SAPBEXHLevel2 3 2" xfId="11955"/>
    <cellStyle name="SAPBEXHLevel2 4" xfId="11956"/>
    <cellStyle name="SAPBEXHLevel2X" xfId="11957"/>
    <cellStyle name="SAPBEXHLevel2X 2" xfId="11958"/>
    <cellStyle name="SAPBEXHLevel2X 2 2" xfId="11959"/>
    <cellStyle name="SAPBEXHLevel2X 3" xfId="11960"/>
    <cellStyle name="SAPBEXHLevel2X 3 2" xfId="11961"/>
    <cellStyle name="SAPBEXHLevel2X 4" xfId="11962"/>
    <cellStyle name="SAPBEXHLevel3" xfId="11963"/>
    <cellStyle name="SAPBEXHLevel3 2" xfId="11964"/>
    <cellStyle name="SAPBEXHLevel3 2 2" xfId="11965"/>
    <cellStyle name="SAPBEXHLevel3 3" xfId="11966"/>
    <cellStyle name="SAPBEXHLevel3 3 2" xfId="11967"/>
    <cellStyle name="SAPBEXHLevel3 4" xfId="11968"/>
    <cellStyle name="SAPBEXHLevel3X" xfId="11969"/>
    <cellStyle name="SAPBEXHLevel3X 2" xfId="11970"/>
    <cellStyle name="SAPBEXHLevel3X 2 2" xfId="11971"/>
    <cellStyle name="SAPBEXHLevel3X 3" xfId="11972"/>
    <cellStyle name="SAPBEXHLevel3X 3 2" xfId="11973"/>
    <cellStyle name="SAPBEXHLevel3X 4" xfId="11974"/>
    <cellStyle name="SAPBEXinputData" xfId="11975"/>
    <cellStyle name="SAPBEXItemHeader" xfId="11976"/>
    <cellStyle name="SAPBEXresData" xfId="11977"/>
    <cellStyle name="SAPBEXresData 2" xfId="11978"/>
    <cellStyle name="SAPBEXresData 3" xfId="11979"/>
    <cellStyle name="SAPBEXresDataEmph" xfId="11980"/>
    <cellStyle name="SAPBEXresDataEmph 2" xfId="11981"/>
    <cellStyle name="SAPBEXresDataEmph 3" xfId="11982"/>
    <cellStyle name="SAPBEXresItem" xfId="11983"/>
    <cellStyle name="SAPBEXresItem 2" xfId="11984"/>
    <cellStyle name="SAPBEXresItem 3" xfId="11985"/>
    <cellStyle name="SAPBEXresItemX" xfId="11986"/>
    <cellStyle name="SAPBEXresItemX 2" xfId="11987"/>
    <cellStyle name="SAPBEXstdData" xfId="11988"/>
    <cellStyle name="SAPBEXstdData 2" xfId="11989"/>
    <cellStyle name="SAPBEXstdData 2 2" xfId="11990"/>
    <cellStyle name="SAPBEXstdData 3" xfId="11991"/>
    <cellStyle name="SAPBEXstdData 3 2" xfId="11992"/>
    <cellStyle name="SAPBEXstdData_2009 LOE and Capital Budget by Field v2" xfId="11993"/>
    <cellStyle name="SAPBEXstdDataEmph" xfId="11994"/>
    <cellStyle name="SAPBEXstdDataEmph 2" xfId="11995"/>
    <cellStyle name="SAPBEXstdDataEmph 3" xfId="11996"/>
    <cellStyle name="SAPBEXstdItem" xfId="11997"/>
    <cellStyle name="SAPBEXstdItem 2" xfId="11998"/>
    <cellStyle name="SAPBEXstdItem 2 2" xfId="11999"/>
    <cellStyle name="SAPBEXstdItem 2 3" xfId="12000"/>
    <cellStyle name="SAPBEXstdItem 3" xfId="12001"/>
    <cellStyle name="SAPBEXstdItem 3 2" xfId="12002"/>
    <cellStyle name="SAPBEXstdItem 4" xfId="12003"/>
    <cellStyle name="SAPBEXstdItem 4 2" xfId="12004"/>
    <cellStyle name="SAPBEXstdItem 5" xfId="12005"/>
    <cellStyle name="SAPBEXstdItem_2009 LOE and Capital Budget by Field v2" xfId="12006"/>
    <cellStyle name="SAPBEXstdItemX" xfId="12007"/>
    <cellStyle name="SAPBEXstdItemX 2" xfId="12008"/>
    <cellStyle name="SAPBEXstdItemX 2 2" xfId="12009"/>
    <cellStyle name="SAPBEXstdItemX 3" xfId="12010"/>
    <cellStyle name="SAPBEXstdItemX 3 2" xfId="12011"/>
    <cellStyle name="SAPBEXstdItemX 4" xfId="12012"/>
    <cellStyle name="SAPBEXtitle" xfId="12013"/>
    <cellStyle name="SAPBEXtitle 2" xfId="12014"/>
    <cellStyle name="SAPBEXtitle 2 2" xfId="12015"/>
    <cellStyle name="SAPBEXtitle 3" xfId="12016"/>
    <cellStyle name="SAPBEXtitle 3 2" xfId="12017"/>
    <cellStyle name="SAPBEXtitle 4" xfId="12018"/>
    <cellStyle name="SAPBEXunassignedItem" xfId="12019"/>
    <cellStyle name="SAPBEXundefined" xfId="12020"/>
    <cellStyle name="SAPBEXundefined 2" xfId="12021"/>
    <cellStyle name="SAPBEXundefined 3" xfId="12022"/>
    <cellStyle name="shade" xfId="12023"/>
    <cellStyle name="shade 2" xfId="12024"/>
    <cellStyle name="shade 3" xfId="12025"/>
    <cellStyle name="shade 4" xfId="12026"/>
    <cellStyle name="shade 5" xfId="12027"/>
    <cellStyle name="shade 6" xfId="12028"/>
    <cellStyle name="shade 7" xfId="12029"/>
    <cellStyle name="shade 8" xfId="12030"/>
    <cellStyle name="shade 9" xfId="12031"/>
    <cellStyle name="Sheet Title" xfId="12032"/>
    <cellStyle name="Shell" xfId="12033"/>
    <cellStyle name="Style2" xfId="12034"/>
    <cellStyle name="SUBHEAD" xfId="12035"/>
    <cellStyle name="SUBTEXT" xfId="12036"/>
    <cellStyle name="tep" xfId="12037"/>
    <cellStyle name="tep 2" xfId="12038"/>
    <cellStyle name="tep 3" xfId="12039"/>
    <cellStyle name="tep 4" xfId="12040"/>
    <cellStyle name="Title 2" xfId="12041"/>
    <cellStyle name="Title 2 2" xfId="12042"/>
    <cellStyle name="Title 2 3" xfId="12043"/>
    <cellStyle name="Title 3" xfId="12044"/>
    <cellStyle name="Title 3 2" xfId="12045"/>
    <cellStyle name="Title 4" xfId="12046"/>
    <cellStyle name="Title 5" xfId="12047"/>
    <cellStyle name="Title 5 2" xfId="12048"/>
    <cellStyle name="Title 5 2 2" xfId="12049"/>
    <cellStyle name="Title 6" xfId="12050"/>
    <cellStyle name="Title 6 2" xfId="12051"/>
    <cellStyle name="Title 7" xfId="12052"/>
    <cellStyle name="Title 8" xfId="12053"/>
    <cellStyle name="Total 2" xfId="12054"/>
    <cellStyle name="Total 2 2" xfId="12055"/>
    <cellStyle name="Total 2 2 2" xfId="12056"/>
    <cellStyle name="Total 2 3" xfId="12057"/>
    <cellStyle name="Total 2 3 2" xfId="12058"/>
    <cellStyle name="Total 2 4" xfId="12059"/>
    <cellStyle name="Total 3" xfId="12060"/>
    <cellStyle name="Total 3 2" xfId="12061"/>
    <cellStyle name="Total 3 2 2" xfId="12062"/>
    <cellStyle name="Total 3 3" xfId="12063"/>
    <cellStyle name="Total 4" xfId="12064"/>
    <cellStyle name="Total 4 2" xfId="12065"/>
    <cellStyle name="Total 5" xfId="12066"/>
    <cellStyle name="Total 5 2" xfId="12067"/>
    <cellStyle name="Total 5 2 2" xfId="12068"/>
    <cellStyle name="Total 6" xfId="12069"/>
    <cellStyle name="Total 6 2" xfId="12070"/>
    <cellStyle name="Total 6 2 2" xfId="12071"/>
    <cellStyle name="Total 7" xfId="12072"/>
    <cellStyle name="Total 8" xfId="12073"/>
    <cellStyle name="unshade" xfId="12074"/>
    <cellStyle name="unshade 2" xfId="12075"/>
    <cellStyle name="unshade 3" xfId="12076"/>
    <cellStyle name="unshade 4" xfId="12077"/>
    <cellStyle name="unshade 5" xfId="12078"/>
    <cellStyle name="unshade 6" xfId="12079"/>
    <cellStyle name="unshade 7" xfId="12080"/>
    <cellStyle name="unshade 8" xfId="12081"/>
    <cellStyle name="Warning Text 2" xfId="12082"/>
    <cellStyle name="Warning Text 2 2" xfId="12083"/>
    <cellStyle name="Warning Text 2 3" xfId="12084"/>
    <cellStyle name="Warning Text 3" xfId="12085"/>
    <cellStyle name="Warning Text 3 2" xfId="12086"/>
    <cellStyle name="Warning Text 4" xfId="12087"/>
    <cellStyle name="Warning Text 5" xfId="12088"/>
    <cellStyle name="Warning Text 6" xfId="12089"/>
    <cellStyle name="Yellow" xfId="12090"/>
  </cellStyles>
  <dxfs count="4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mruColors>
      <color rgb="FFFFFF99"/>
      <color rgb="FF1DA31D"/>
      <color rgb="FF1F9132"/>
      <color rgb="FF00B0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Total Payout</a:t>
            </a:r>
            <a:r>
              <a:rPr lang="en-US" sz="1200" b="1" baseline="0"/>
              <a:t> from Permanent Fund</a:t>
            </a:r>
            <a:endParaRPr lang="en-US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'POMV vs Distrib Income'!$A$49:$A$58</c:f>
              <c:numCache>
                <c:formatCode>General</c:formatCod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</c:numCache>
            </c:numRef>
          </c:cat>
          <c:val>
            <c:numRef>
              <c:f>'POMV vs Distrib Income'!$I$49:$I$58</c:f>
              <c:numCache>
                <c:formatCode>_(* #,##0_);_(* \(#,##0\);_(* "-"??_);_(@_)</c:formatCode>
                <c:ptCount val="10"/>
                <c:pt idx="0">
                  <c:v>2525.67</c:v>
                </c:pt>
                <c:pt idx="1">
                  <c:v>2694.9195</c:v>
                </c:pt>
                <c:pt idx="2">
                  <c:v>2892.9823261500001</c:v>
                </c:pt>
                <c:pt idx="3">
                  <c:v>3107.1481113755253</c:v>
                </c:pt>
                <c:pt idx="4">
                  <c:v>3347.6815715443768</c:v>
                </c:pt>
                <c:pt idx="5">
                  <c:v>3623.6852037122876</c:v>
                </c:pt>
                <c:pt idx="6">
                  <c:v>3807.9619521953064</c:v>
                </c:pt>
                <c:pt idx="7">
                  <c:v>3862.794203673328</c:v>
                </c:pt>
                <c:pt idx="8">
                  <c:v>3829.3889212899844</c:v>
                </c:pt>
                <c:pt idx="9">
                  <c:v>3817.0285889291836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A5-4F18-9092-979F3A76D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1762176"/>
        <c:axId val="421763712"/>
      </c:lineChart>
      <c:catAx>
        <c:axId val="421762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763712"/>
        <c:crosses val="autoZero"/>
        <c:auto val="1"/>
        <c:lblAlgn val="ctr"/>
        <c:lblOffset val="100"/>
        <c:noMultiLvlLbl val="0"/>
      </c:catAx>
      <c:valAx>
        <c:axId val="421763712"/>
        <c:scaling>
          <c:orientation val="minMax"/>
          <c:max val="7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/>
                  <a:t>$ millions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762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Permanent Fund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'SB 26 Charts'!$B$4</c:f>
              <c:strCache>
                <c:ptCount val="1"/>
                <c:pt idx="0">
                  <c:v>With SB 26</c:v>
                </c:pt>
              </c:strCache>
            </c:strRef>
          </c:tx>
          <c:marker>
            <c:symbol val="none"/>
          </c:marker>
          <c:xVal>
            <c:numRef>
              <c:f>'HB 61 Charts Helper'!$A$4:$F$4</c:f>
              <c:numCache>
                <c:formatCode>d\-mmm\-yy</c:formatCode>
                <c:ptCount val="6"/>
                <c:pt idx="0">
                  <c:v>42916</c:v>
                </c:pt>
                <c:pt idx="1">
                  <c:v>43281</c:v>
                </c:pt>
                <c:pt idx="2">
                  <c:v>43646</c:v>
                </c:pt>
                <c:pt idx="3">
                  <c:v>44012</c:v>
                </c:pt>
                <c:pt idx="4">
                  <c:v>44377</c:v>
                </c:pt>
                <c:pt idx="5">
                  <c:v>44742</c:v>
                </c:pt>
              </c:numCache>
            </c:numRef>
          </c:xVal>
          <c:yVal>
            <c:numRef>
              <c:f>'SB 26'!$B$75:$G$75</c:f>
              <c:numCache>
                <c:formatCode>#,##0_);[Red]\(#,##0\)</c:formatCode>
                <c:ptCount val="6"/>
                <c:pt idx="0">
                  <c:v>56484.371347073997</c:v>
                </c:pt>
                <c:pt idx="1">
                  <c:v>57981.490809143848</c:v>
                </c:pt>
                <c:pt idx="2">
                  <c:v>59431.477059209617</c:v>
                </c:pt>
                <c:pt idx="3">
                  <c:v>60847.465926120618</c:v>
                </c:pt>
                <c:pt idx="4">
                  <c:v>62419.576020813634</c:v>
                </c:pt>
                <c:pt idx="5">
                  <c:v>64021.943781011207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CF-4E8A-AB06-86CC02902128}"/>
            </c:ext>
          </c:extLst>
        </c:ser>
        <c:ser>
          <c:idx val="1"/>
          <c:order val="1"/>
          <c:tx>
            <c:v>Status Quo</c:v>
          </c:tx>
          <c:marker>
            <c:symbol val="none"/>
          </c:marker>
          <c:xVal>
            <c:numRef>
              <c:f>'HB 61 Charts Helper'!$A$4:$F$4</c:f>
              <c:numCache>
                <c:formatCode>d\-mmm\-yy</c:formatCode>
                <c:ptCount val="6"/>
                <c:pt idx="0">
                  <c:v>42916</c:v>
                </c:pt>
                <c:pt idx="1">
                  <c:v>43281</c:v>
                </c:pt>
                <c:pt idx="2">
                  <c:v>43646</c:v>
                </c:pt>
                <c:pt idx="3">
                  <c:v>44012</c:v>
                </c:pt>
                <c:pt idx="4">
                  <c:v>44377</c:v>
                </c:pt>
                <c:pt idx="5">
                  <c:v>44742</c:v>
                </c:pt>
              </c:numCache>
            </c:numRef>
          </c:xVal>
          <c:yVal>
            <c:numRef>
              <c:f>'PF Model'!$G$28:$L$28</c:f>
              <c:numCache>
                <c:formatCode>_(* #,##0_);_(* \(#,##0\);_(* "-"??_);_(@_)</c:formatCode>
                <c:ptCount val="6"/>
                <c:pt idx="0">
                  <c:v>56484.371347073997</c:v>
                </c:pt>
                <c:pt idx="1">
                  <c:v>59057.187646130886</c:v>
                </c:pt>
                <c:pt idx="2">
                  <c:v>61786.298702676024</c:v>
                </c:pt>
                <c:pt idx="3">
                  <c:v>62469.954502832501</c:v>
                </c:pt>
                <c:pt idx="4">
                  <c:v>62869.258320105262</c:v>
                </c:pt>
                <c:pt idx="5">
                  <c:v>63122.681706917727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9CF-4E8A-AB06-86CC02902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196736"/>
        <c:axId val="230198272"/>
      </c:scatterChart>
      <c:valAx>
        <c:axId val="230196736"/>
        <c:scaling>
          <c:orientation val="minMax"/>
          <c:max val="44742"/>
          <c:min val="42916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&quot;30-&quot;mmm\-yy" sourceLinked="0"/>
        <c:majorTickMark val="out"/>
        <c:minorTickMark val="none"/>
        <c:tickLblPos val="nextTo"/>
        <c:crossAx val="230198272"/>
        <c:crosses val="autoZero"/>
        <c:crossBetween val="midCat"/>
        <c:majorUnit val="365"/>
      </c:valAx>
      <c:valAx>
        <c:axId val="230198272"/>
        <c:scaling>
          <c:orientation val="minMax"/>
          <c:max val="70000"/>
          <c:min val="4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$ billions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30196736"/>
        <c:crosses val="autoZero"/>
        <c:crossBetween val="midCat"/>
        <c:dispUnits>
          <c:builtInUnit val="thousands"/>
        </c:dispUnits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Permanent</a:t>
            </a:r>
            <a:r>
              <a:rPr lang="en-US" baseline="0"/>
              <a:t> Fund</a:t>
            </a:r>
            <a:r>
              <a:rPr lang="en-US"/>
              <a:t> Earnings Reserve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'SB 26 Charts'!$B$4</c:f>
              <c:strCache>
                <c:ptCount val="1"/>
                <c:pt idx="0">
                  <c:v>With SB 26</c:v>
                </c:pt>
              </c:strCache>
            </c:strRef>
          </c:tx>
          <c:marker>
            <c:symbol val="none"/>
          </c:marker>
          <c:xVal>
            <c:numRef>
              <c:f>'SB 70 Charts Helper'!$A$11:$A$72</c:f>
              <c:numCache>
                <c:formatCode>d\-mmm\-yy</c:formatCode>
                <c:ptCount val="62"/>
                <c:pt idx="0">
                  <c:v>42916</c:v>
                </c:pt>
                <c:pt idx="1">
                  <c:v>42931</c:v>
                </c:pt>
                <c:pt idx="2">
                  <c:v>42962</c:v>
                </c:pt>
                <c:pt idx="3">
                  <c:v>42993</c:v>
                </c:pt>
                <c:pt idx="4">
                  <c:v>43023</c:v>
                </c:pt>
                <c:pt idx="5">
                  <c:v>43054</c:v>
                </c:pt>
                <c:pt idx="6">
                  <c:v>43084</c:v>
                </c:pt>
                <c:pt idx="7">
                  <c:v>43115</c:v>
                </c:pt>
                <c:pt idx="8">
                  <c:v>43146</c:v>
                </c:pt>
                <c:pt idx="9">
                  <c:v>43174</c:v>
                </c:pt>
                <c:pt idx="10">
                  <c:v>43205</c:v>
                </c:pt>
                <c:pt idx="11">
                  <c:v>43235</c:v>
                </c:pt>
                <c:pt idx="12">
                  <c:v>43266</c:v>
                </c:pt>
                <c:pt idx="13">
                  <c:v>43296</c:v>
                </c:pt>
                <c:pt idx="14">
                  <c:v>43327</c:v>
                </c:pt>
                <c:pt idx="15">
                  <c:v>43358</c:v>
                </c:pt>
                <c:pt idx="16">
                  <c:v>43388</c:v>
                </c:pt>
                <c:pt idx="17">
                  <c:v>43419</c:v>
                </c:pt>
                <c:pt idx="18">
                  <c:v>43449</c:v>
                </c:pt>
                <c:pt idx="19">
                  <c:v>43480</c:v>
                </c:pt>
                <c:pt idx="20">
                  <c:v>43511</c:v>
                </c:pt>
                <c:pt idx="21">
                  <c:v>43539</c:v>
                </c:pt>
                <c:pt idx="22">
                  <c:v>43570</c:v>
                </c:pt>
                <c:pt idx="23">
                  <c:v>43600</c:v>
                </c:pt>
                <c:pt idx="24">
                  <c:v>43631</c:v>
                </c:pt>
                <c:pt idx="25">
                  <c:v>43661</c:v>
                </c:pt>
                <c:pt idx="26">
                  <c:v>43692</c:v>
                </c:pt>
                <c:pt idx="27">
                  <c:v>43723</c:v>
                </c:pt>
                <c:pt idx="28">
                  <c:v>43753</c:v>
                </c:pt>
                <c:pt idx="29">
                  <c:v>43784</c:v>
                </c:pt>
                <c:pt idx="30">
                  <c:v>43814</c:v>
                </c:pt>
                <c:pt idx="31">
                  <c:v>43845</c:v>
                </c:pt>
                <c:pt idx="32">
                  <c:v>43876</c:v>
                </c:pt>
                <c:pt idx="33">
                  <c:v>43905</c:v>
                </c:pt>
                <c:pt idx="34">
                  <c:v>43936</c:v>
                </c:pt>
                <c:pt idx="35">
                  <c:v>43966</c:v>
                </c:pt>
                <c:pt idx="36">
                  <c:v>43997</c:v>
                </c:pt>
                <c:pt idx="37">
                  <c:v>44027</c:v>
                </c:pt>
                <c:pt idx="38">
                  <c:v>44058</c:v>
                </c:pt>
                <c:pt idx="39">
                  <c:v>44089</c:v>
                </c:pt>
                <c:pt idx="40">
                  <c:v>44119</c:v>
                </c:pt>
                <c:pt idx="41">
                  <c:v>44150</c:v>
                </c:pt>
                <c:pt idx="42">
                  <c:v>44180</c:v>
                </c:pt>
                <c:pt idx="43">
                  <c:v>44211</c:v>
                </c:pt>
                <c:pt idx="44">
                  <c:v>44242</c:v>
                </c:pt>
                <c:pt idx="45">
                  <c:v>44270</c:v>
                </c:pt>
                <c:pt idx="46">
                  <c:v>44301</c:v>
                </c:pt>
                <c:pt idx="47">
                  <c:v>44331</c:v>
                </c:pt>
                <c:pt idx="48">
                  <c:v>44362</c:v>
                </c:pt>
                <c:pt idx="49">
                  <c:v>44392</c:v>
                </c:pt>
                <c:pt idx="50">
                  <c:v>44423</c:v>
                </c:pt>
                <c:pt idx="51">
                  <c:v>44454</c:v>
                </c:pt>
                <c:pt idx="52">
                  <c:v>44484</c:v>
                </c:pt>
                <c:pt idx="53">
                  <c:v>44515</c:v>
                </c:pt>
                <c:pt idx="54">
                  <c:v>44545</c:v>
                </c:pt>
                <c:pt idx="55">
                  <c:v>44576</c:v>
                </c:pt>
                <c:pt idx="56">
                  <c:v>44607</c:v>
                </c:pt>
                <c:pt idx="57">
                  <c:v>44635</c:v>
                </c:pt>
                <c:pt idx="58">
                  <c:v>44666</c:v>
                </c:pt>
                <c:pt idx="59">
                  <c:v>44696</c:v>
                </c:pt>
                <c:pt idx="60">
                  <c:v>44727</c:v>
                </c:pt>
                <c:pt idx="61">
                  <c:v>44742</c:v>
                </c:pt>
              </c:numCache>
            </c:numRef>
          </c:xVal>
          <c:yVal>
            <c:numRef>
              <c:f>'SB 70 Charts Helper'!$I$11:$I$72</c:f>
              <c:numCache>
                <c:formatCode>_(* #,##0_);_(* \(#,##0\);_(* "-"??_);_(@_)</c:formatCode>
                <c:ptCount val="62"/>
                <c:pt idx="0">
                  <c:v>11670.469051503305</c:v>
                </c:pt>
                <c:pt idx="1">
                  <c:v>11599.744606769857</c:v>
                </c:pt>
                <c:pt idx="2">
                  <c:v>11453.580754320727</c:v>
                </c:pt>
                <c:pt idx="3">
                  <c:v>11307.416901871597</c:v>
                </c:pt>
                <c:pt idx="4">
                  <c:v>11165.968012404697</c:v>
                </c:pt>
                <c:pt idx="5">
                  <c:v>11019.804159955569</c:v>
                </c:pt>
                <c:pt idx="6">
                  <c:v>10878.35527048867</c:v>
                </c:pt>
                <c:pt idx="7">
                  <c:v>10732.19141803954</c:v>
                </c:pt>
                <c:pt idx="8">
                  <c:v>10586.027565590412</c:v>
                </c:pt>
                <c:pt idx="9">
                  <c:v>10454.008602087972</c:v>
                </c:pt>
                <c:pt idx="10">
                  <c:v>10307.844749638842</c:v>
                </c:pt>
                <c:pt idx="11">
                  <c:v>10166.395860171942</c:v>
                </c:pt>
                <c:pt idx="12">
                  <c:v>10020.232007722814</c:v>
                </c:pt>
                <c:pt idx="13">
                  <c:v>9987.9466720376931</c:v>
                </c:pt>
                <c:pt idx="14">
                  <c:v>10067.387497404241</c:v>
                </c:pt>
                <c:pt idx="15">
                  <c:v>10146.828322770791</c:v>
                </c:pt>
                <c:pt idx="16">
                  <c:v>10223.70654086745</c:v>
                </c:pt>
                <c:pt idx="17">
                  <c:v>10303.147366233998</c:v>
                </c:pt>
                <c:pt idx="18">
                  <c:v>10380.025584330657</c:v>
                </c:pt>
                <c:pt idx="19">
                  <c:v>10459.466409697205</c:v>
                </c:pt>
                <c:pt idx="20">
                  <c:v>10538.907235063754</c:v>
                </c:pt>
                <c:pt idx="21">
                  <c:v>10610.660238620636</c:v>
                </c:pt>
                <c:pt idx="22">
                  <c:v>10690.101063987184</c:v>
                </c:pt>
                <c:pt idx="23">
                  <c:v>10766.979282083843</c:v>
                </c:pt>
                <c:pt idx="24">
                  <c:v>10846.420107450393</c:v>
                </c:pt>
                <c:pt idx="25">
                  <c:v>10907.941797007103</c:v>
                </c:pt>
                <c:pt idx="26">
                  <c:v>10955.645796724424</c:v>
                </c:pt>
                <c:pt idx="27">
                  <c:v>11003.349796441746</c:v>
                </c:pt>
                <c:pt idx="28">
                  <c:v>11049.514957458507</c:v>
                </c:pt>
                <c:pt idx="29">
                  <c:v>11097.218957175828</c:v>
                </c:pt>
                <c:pt idx="30">
                  <c:v>11143.384118192589</c:v>
                </c:pt>
                <c:pt idx="31">
                  <c:v>11191.088117909911</c:v>
                </c:pt>
                <c:pt idx="32">
                  <c:v>11238.792117627232</c:v>
                </c:pt>
                <c:pt idx="33">
                  <c:v>11283.418439943434</c:v>
                </c:pt>
                <c:pt idx="34">
                  <c:v>11331.122439660756</c:v>
                </c:pt>
                <c:pt idx="35">
                  <c:v>11377.287600677519</c:v>
                </c:pt>
                <c:pt idx="36">
                  <c:v>11424.991600394838</c:v>
                </c:pt>
                <c:pt idx="37">
                  <c:v>11434.735101775872</c:v>
                </c:pt>
                <c:pt idx="38">
                  <c:v>11407.167671579356</c:v>
                </c:pt>
                <c:pt idx="39">
                  <c:v>11379.600241382841</c:v>
                </c:pt>
                <c:pt idx="40">
                  <c:v>11352.922083128147</c:v>
                </c:pt>
                <c:pt idx="41">
                  <c:v>11325.354652931632</c:v>
                </c:pt>
                <c:pt idx="42">
                  <c:v>11298.676494676938</c:v>
                </c:pt>
                <c:pt idx="43">
                  <c:v>11271.109064480423</c:v>
                </c:pt>
                <c:pt idx="44">
                  <c:v>11243.541634283905</c:v>
                </c:pt>
                <c:pt idx="45">
                  <c:v>11218.642019912859</c:v>
                </c:pt>
                <c:pt idx="46">
                  <c:v>11191.074589716343</c:v>
                </c:pt>
                <c:pt idx="47">
                  <c:v>11164.39643146165</c:v>
                </c:pt>
                <c:pt idx="48">
                  <c:v>11136.829001265134</c:v>
                </c:pt>
                <c:pt idx="49">
                  <c:v>11140.612401171256</c:v>
                </c:pt>
                <c:pt idx="50">
                  <c:v>11175.998857840425</c:v>
                </c:pt>
                <c:pt idx="51">
                  <c:v>11211.385314509593</c:v>
                </c:pt>
                <c:pt idx="52">
                  <c:v>11245.630272576531</c:v>
                </c:pt>
                <c:pt idx="53">
                  <c:v>11281.016729245699</c:v>
                </c:pt>
                <c:pt idx="54">
                  <c:v>11315.261687312635</c:v>
                </c:pt>
                <c:pt idx="55">
                  <c:v>11350.648143981804</c:v>
                </c:pt>
                <c:pt idx="56">
                  <c:v>11386.034600650974</c:v>
                </c:pt>
                <c:pt idx="57">
                  <c:v>11417.996561513448</c:v>
                </c:pt>
                <c:pt idx="58">
                  <c:v>11453.383018182616</c:v>
                </c:pt>
                <c:pt idx="59">
                  <c:v>11487.627976249554</c:v>
                </c:pt>
                <c:pt idx="60">
                  <c:v>11523.014432918722</c:v>
                </c:pt>
                <c:pt idx="61">
                  <c:v>11540.136911952191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64E-4EA4-B4FE-232DDD4F2BC8}"/>
            </c:ext>
          </c:extLst>
        </c:ser>
        <c:ser>
          <c:idx val="1"/>
          <c:order val="1"/>
          <c:tx>
            <c:v>Status Quo</c:v>
          </c:tx>
          <c:marker>
            <c:symbol val="none"/>
          </c:marker>
          <c:xVal>
            <c:numRef>
              <c:f>'HB 61 Charts Helper'!$A$14:$A$75</c:f>
              <c:numCache>
                <c:formatCode>d\-mmm\-yy</c:formatCode>
                <c:ptCount val="62"/>
                <c:pt idx="0">
                  <c:v>42916</c:v>
                </c:pt>
                <c:pt idx="1">
                  <c:v>42931</c:v>
                </c:pt>
                <c:pt idx="2">
                  <c:v>42962</c:v>
                </c:pt>
                <c:pt idx="3">
                  <c:v>42993</c:v>
                </c:pt>
                <c:pt idx="4">
                  <c:v>43023</c:v>
                </c:pt>
                <c:pt idx="5">
                  <c:v>43054</c:v>
                </c:pt>
                <c:pt idx="6">
                  <c:v>43084</c:v>
                </c:pt>
                <c:pt idx="7">
                  <c:v>43115</c:v>
                </c:pt>
                <c:pt idx="8">
                  <c:v>43146</c:v>
                </c:pt>
                <c:pt idx="9">
                  <c:v>43174</c:v>
                </c:pt>
                <c:pt idx="10">
                  <c:v>43205</c:v>
                </c:pt>
                <c:pt idx="11">
                  <c:v>43235</c:v>
                </c:pt>
                <c:pt idx="12">
                  <c:v>43266</c:v>
                </c:pt>
                <c:pt idx="13">
                  <c:v>43296</c:v>
                </c:pt>
                <c:pt idx="14">
                  <c:v>43327</c:v>
                </c:pt>
                <c:pt idx="15">
                  <c:v>43358</c:v>
                </c:pt>
                <c:pt idx="16">
                  <c:v>43388</c:v>
                </c:pt>
                <c:pt idx="17">
                  <c:v>43419</c:v>
                </c:pt>
                <c:pt idx="18">
                  <c:v>43449</c:v>
                </c:pt>
                <c:pt idx="19">
                  <c:v>43480</c:v>
                </c:pt>
                <c:pt idx="20">
                  <c:v>43511</c:v>
                </c:pt>
                <c:pt idx="21">
                  <c:v>43539</c:v>
                </c:pt>
                <c:pt idx="22">
                  <c:v>43570</c:v>
                </c:pt>
                <c:pt idx="23">
                  <c:v>43600</c:v>
                </c:pt>
                <c:pt idx="24">
                  <c:v>43631</c:v>
                </c:pt>
                <c:pt idx="25">
                  <c:v>43661</c:v>
                </c:pt>
                <c:pt idx="26">
                  <c:v>43692</c:v>
                </c:pt>
                <c:pt idx="27">
                  <c:v>43723</c:v>
                </c:pt>
                <c:pt idx="28">
                  <c:v>43753</c:v>
                </c:pt>
                <c:pt idx="29">
                  <c:v>43784</c:v>
                </c:pt>
                <c:pt idx="30">
                  <c:v>43814</c:v>
                </c:pt>
                <c:pt idx="31">
                  <c:v>43845</c:v>
                </c:pt>
                <c:pt idx="32">
                  <c:v>43876</c:v>
                </c:pt>
                <c:pt idx="33">
                  <c:v>43905</c:v>
                </c:pt>
                <c:pt idx="34">
                  <c:v>43936</c:v>
                </c:pt>
                <c:pt idx="35">
                  <c:v>43966</c:v>
                </c:pt>
                <c:pt idx="36">
                  <c:v>43997</c:v>
                </c:pt>
                <c:pt idx="37">
                  <c:v>44027</c:v>
                </c:pt>
                <c:pt idx="38">
                  <c:v>44058</c:v>
                </c:pt>
                <c:pt idx="39">
                  <c:v>44089</c:v>
                </c:pt>
                <c:pt idx="40">
                  <c:v>44119</c:v>
                </c:pt>
                <c:pt idx="41">
                  <c:v>44150</c:v>
                </c:pt>
                <c:pt idx="42">
                  <c:v>44180</c:v>
                </c:pt>
                <c:pt idx="43">
                  <c:v>44211</c:v>
                </c:pt>
                <c:pt idx="44">
                  <c:v>44242</c:v>
                </c:pt>
                <c:pt idx="45">
                  <c:v>44270</c:v>
                </c:pt>
                <c:pt idx="46">
                  <c:v>44301</c:v>
                </c:pt>
                <c:pt idx="47">
                  <c:v>44331</c:v>
                </c:pt>
                <c:pt idx="48">
                  <c:v>44362</c:v>
                </c:pt>
                <c:pt idx="49">
                  <c:v>44392</c:v>
                </c:pt>
                <c:pt idx="50">
                  <c:v>44423</c:v>
                </c:pt>
                <c:pt idx="51">
                  <c:v>44454</c:v>
                </c:pt>
                <c:pt idx="52">
                  <c:v>44484</c:v>
                </c:pt>
                <c:pt idx="53">
                  <c:v>44515</c:v>
                </c:pt>
                <c:pt idx="54">
                  <c:v>44545</c:v>
                </c:pt>
                <c:pt idx="55">
                  <c:v>44576</c:v>
                </c:pt>
                <c:pt idx="56">
                  <c:v>44607</c:v>
                </c:pt>
                <c:pt idx="57">
                  <c:v>44635</c:v>
                </c:pt>
                <c:pt idx="58">
                  <c:v>44666</c:v>
                </c:pt>
                <c:pt idx="59">
                  <c:v>44696</c:v>
                </c:pt>
                <c:pt idx="60">
                  <c:v>44727</c:v>
                </c:pt>
                <c:pt idx="61">
                  <c:v>44742</c:v>
                </c:pt>
              </c:numCache>
            </c:numRef>
          </c:xVal>
          <c:yVal>
            <c:numRef>
              <c:f>'HB 61 Charts Helper'!$O$14:$O$75</c:f>
              <c:numCache>
                <c:formatCode>_(* #,##0_);_(* \(#,##0\);_(* "-"??_);_(@_)</c:formatCode>
                <c:ptCount val="62"/>
                <c:pt idx="0">
                  <c:v>11670.469051503305</c:v>
                </c:pt>
                <c:pt idx="1">
                  <c:v>11717.121374616017</c:v>
                </c:pt>
                <c:pt idx="2">
                  <c:v>11813.536175715624</c:v>
                </c:pt>
                <c:pt idx="3">
                  <c:v>11909.950976815231</c:v>
                </c:pt>
                <c:pt idx="4">
                  <c:v>12003.255623040657</c:v>
                </c:pt>
                <c:pt idx="5">
                  <c:v>12099.670424140264</c:v>
                </c:pt>
                <c:pt idx="6">
                  <c:v>12192.97507036569</c:v>
                </c:pt>
                <c:pt idx="7">
                  <c:v>12289.389871465297</c:v>
                </c:pt>
                <c:pt idx="8">
                  <c:v>12385.804672564904</c:v>
                </c:pt>
                <c:pt idx="9">
                  <c:v>12472.889009041968</c:v>
                </c:pt>
                <c:pt idx="10">
                  <c:v>12569.303810141573</c:v>
                </c:pt>
                <c:pt idx="11">
                  <c:v>12662.608456366999</c:v>
                </c:pt>
                <c:pt idx="12">
                  <c:v>12759.023257466606</c:v>
                </c:pt>
                <c:pt idx="13">
                  <c:v>12856.238567607981</c:v>
                </c:pt>
                <c:pt idx="14">
                  <c:v>12960.735407467213</c:v>
                </c:pt>
                <c:pt idx="15">
                  <c:v>13065.232247326447</c:v>
                </c:pt>
                <c:pt idx="16">
                  <c:v>13166.358221383769</c:v>
                </c:pt>
                <c:pt idx="17">
                  <c:v>13270.855061243001</c:v>
                </c:pt>
                <c:pt idx="18">
                  <c:v>13371.981035300323</c:v>
                </c:pt>
                <c:pt idx="19">
                  <c:v>13476.477875159555</c:v>
                </c:pt>
                <c:pt idx="20">
                  <c:v>13580.974715018789</c:v>
                </c:pt>
                <c:pt idx="21">
                  <c:v>13675.358957472288</c:v>
                </c:pt>
                <c:pt idx="22">
                  <c:v>13779.855797331522</c:v>
                </c:pt>
                <c:pt idx="23">
                  <c:v>13880.981771388844</c:v>
                </c:pt>
                <c:pt idx="24">
                  <c:v>13985.478611248076</c:v>
                </c:pt>
                <c:pt idx="25">
                  <c:v>13991.153843611557</c:v>
                </c:pt>
                <c:pt idx="26">
                  <c:v>13898.385817303517</c:v>
                </c:pt>
                <c:pt idx="27">
                  <c:v>13805.617790995479</c:v>
                </c:pt>
                <c:pt idx="28">
                  <c:v>13715.842281665116</c:v>
                </c:pt>
                <c:pt idx="29">
                  <c:v>13623.074255357078</c:v>
                </c:pt>
                <c:pt idx="30">
                  <c:v>13533.298746026716</c:v>
                </c:pt>
                <c:pt idx="31">
                  <c:v>13440.530719718678</c:v>
                </c:pt>
                <c:pt idx="32">
                  <c:v>13347.762693410637</c:v>
                </c:pt>
                <c:pt idx="33">
                  <c:v>13260.979701057955</c:v>
                </c:pt>
                <c:pt idx="34">
                  <c:v>13168.211674749915</c:v>
                </c:pt>
                <c:pt idx="35">
                  <c:v>13078.436165419555</c:v>
                </c:pt>
                <c:pt idx="36">
                  <c:v>12985.668139111516</c:v>
                </c:pt>
                <c:pt idx="37">
                  <c:v>12879.750886627115</c:v>
                </c:pt>
                <c:pt idx="38">
                  <c:v>12753.623257800728</c:v>
                </c:pt>
                <c:pt idx="39">
                  <c:v>12627.495628974342</c:v>
                </c:pt>
                <c:pt idx="40">
                  <c:v>12505.436633335903</c:v>
                </c:pt>
                <c:pt idx="41">
                  <c:v>12379.309004509516</c:v>
                </c:pt>
                <c:pt idx="42">
                  <c:v>12257.250008871079</c:v>
                </c:pt>
                <c:pt idx="43">
                  <c:v>12131.122380044691</c:v>
                </c:pt>
                <c:pt idx="44">
                  <c:v>12004.994751218306</c:v>
                </c:pt>
                <c:pt idx="45">
                  <c:v>11891.073021955763</c:v>
                </c:pt>
                <c:pt idx="46">
                  <c:v>11764.945393129376</c:v>
                </c:pt>
                <c:pt idx="47">
                  <c:v>11642.886397490938</c:v>
                </c:pt>
                <c:pt idx="48">
                  <c:v>11516.758768664551</c:v>
                </c:pt>
                <c:pt idx="49">
                  <c:v>11385.235193736542</c:v>
                </c:pt>
                <c:pt idx="50">
                  <c:v>11239.547434378379</c:v>
                </c:pt>
                <c:pt idx="51">
                  <c:v>11093.859675020214</c:v>
                </c:pt>
                <c:pt idx="52">
                  <c:v>10952.871520802637</c:v>
                </c:pt>
                <c:pt idx="53">
                  <c:v>10807.183761444472</c:v>
                </c:pt>
                <c:pt idx="54">
                  <c:v>10666.195607226895</c:v>
                </c:pt>
                <c:pt idx="55">
                  <c:v>10520.50784786873</c:v>
                </c:pt>
                <c:pt idx="56">
                  <c:v>10374.820088510565</c:v>
                </c:pt>
                <c:pt idx="57">
                  <c:v>10243.23114457416</c:v>
                </c:pt>
                <c:pt idx="58">
                  <c:v>10097.543385215995</c:v>
                </c:pt>
                <c:pt idx="59">
                  <c:v>9956.5552309984178</c:v>
                </c:pt>
                <c:pt idx="60">
                  <c:v>9810.8674716402529</c:v>
                </c:pt>
                <c:pt idx="61">
                  <c:v>9740.3733945314652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64E-4EA4-B4FE-232DDD4F2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2213888"/>
        <c:axId val="233531264"/>
      </c:scatterChart>
      <c:valAx>
        <c:axId val="232213888"/>
        <c:scaling>
          <c:orientation val="minMax"/>
          <c:max val="44742"/>
          <c:min val="42916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&quot;30-&quot;mmm\-yy" sourceLinked="0"/>
        <c:majorTickMark val="out"/>
        <c:minorTickMark val="none"/>
        <c:tickLblPos val="nextTo"/>
        <c:crossAx val="233531264"/>
        <c:crosses val="autoZero"/>
        <c:crossBetween val="midCat"/>
        <c:majorUnit val="365"/>
      </c:valAx>
      <c:valAx>
        <c:axId val="233531264"/>
        <c:scaling>
          <c:orientation val="minMax"/>
          <c:max val="20000"/>
        </c:scaling>
        <c:delete val="0"/>
        <c:axPos val="l"/>
        <c:majorGridlines>
          <c:spPr>
            <a:ln cmpd="sng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$ billions</a:t>
                </a:r>
              </a:p>
            </c:rich>
          </c:tx>
          <c:overlay val="0"/>
        </c:title>
        <c:numFmt formatCode="0_);[Red]\(0\)" sourceLinked="0"/>
        <c:majorTickMark val="out"/>
        <c:minorTickMark val="none"/>
        <c:tickLblPos val="nextTo"/>
        <c:crossAx val="232213888"/>
        <c:crosses val="autoZero"/>
        <c:crossBetween val="midCat"/>
        <c:dispUnits>
          <c:builtInUnit val="thousands"/>
        </c:dispUnits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Dividend Check Forecast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'SB 26 Charts'!$B$4</c:f>
              <c:strCache>
                <c:ptCount val="1"/>
                <c:pt idx="0">
                  <c:v>With SB 26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'HB61'!$C$106:$G$106</c:f>
              <c:numCache>
                <c:formatCode>[$-409]mmm\-yyyy;@</c:formatCode>
                <c:ptCount val="5"/>
                <c:pt idx="0">
                  <c:v>43009</c:v>
                </c:pt>
                <c:pt idx="1">
                  <c:v>43374</c:v>
                </c:pt>
                <c:pt idx="2">
                  <c:v>43739</c:v>
                </c:pt>
                <c:pt idx="3">
                  <c:v>44105</c:v>
                </c:pt>
                <c:pt idx="4">
                  <c:v>44470</c:v>
                </c:pt>
              </c:numCache>
            </c:numRef>
          </c:cat>
          <c:val>
            <c:numRef>
              <c:f>'SB 26'!$C$83:$G$83</c:f>
              <c:numCache>
                <c:formatCode>#,##0_);[Red]\(#,##0\)</c:formatCode>
                <c:ptCount val="5"/>
                <c:pt idx="0">
                  <c:v>1000.0000000000001</c:v>
                </c:pt>
                <c:pt idx="1">
                  <c:v>1000</c:v>
                </c:pt>
                <c:pt idx="2">
                  <c:v>1000</c:v>
                </c:pt>
                <c:pt idx="3">
                  <c:v>986.3682969691472</c:v>
                </c:pt>
                <c:pt idx="4">
                  <c:v>1007.2079217922286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80-4963-A839-9BD42E91B79D}"/>
            </c:ext>
          </c:extLst>
        </c:ser>
        <c:ser>
          <c:idx val="1"/>
          <c:order val="1"/>
          <c:tx>
            <c:v>Status Quo</c:v>
          </c:tx>
          <c:invertIfNegative val="0"/>
          <c:dPt>
            <c:idx val="3"/>
            <c:invertIfNegative val="0"/>
            <c:bubble3D val="0"/>
            <c:spPr>
              <a:noFill/>
              <a:ln w="25400">
                <a:solidFill>
                  <a:schemeClr val="accent2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3380-4963-A839-9BD42E91B79D}"/>
              </c:ext>
            </c:extLst>
          </c:dPt>
          <c:dPt>
            <c:idx val="4"/>
            <c:invertIfNegative val="0"/>
            <c:bubble3D val="0"/>
            <c:spPr>
              <a:noFill/>
              <a:ln w="25400">
                <a:solidFill>
                  <a:schemeClr val="accent2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3380-4963-A839-9BD42E91B79D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'HB61'!$C$106:$G$106</c:f>
              <c:numCache>
                <c:formatCode>[$-409]mmm\-yyyy;@</c:formatCode>
                <c:ptCount val="5"/>
                <c:pt idx="0">
                  <c:v>43009</c:v>
                </c:pt>
                <c:pt idx="1">
                  <c:v>43374</c:v>
                </c:pt>
                <c:pt idx="2">
                  <c:v>43739</c:v>
                </c:pt>
                <c:pt idx="3">
                  <c:v>44105</c:v>
                </c:pt>
                <c:pt idx="4">
                  <c:v>44470</c:v>
                </c:pt>
              </c:numCache>
            </c:numRef>
          </c:cat>
          <c:val>
            <c:numRef>
              <c:f>'HB61'!$C$108:$G$108</c:f>
              <c:numCache>
                <c:formatCode>#,##0_);[Red]\(#,##0\)</c:formatCode>
                <c:ptCount val="5"/>
                <c:pt idx="0">
                  <c:v>2240.4135886896033</c:v>
                </c:pt>
                <c:pt idx="1">
                  <c:v>2293.4589332172404</c:v>
                </c:pt>
                <c:pt idx="2">
                  <c:v>2275.760482349207</c:v>
                </c:pt>
                <c:pt idx="3">
                  <c:v>2380.838917196153</c:v>
                </c:pt>
                <c:pt idx="4">
                  <c:v>2599.0175137051265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380-4963-A839-9BD42E91B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416960"/>
        <c:axId val="251418496"/>
      </c:barChart>
      <c:catAx>
        <c:axId val="251416960"/>
        <c:scaling>
          <c:orientation val="minMax"/>
        </c:scaling>
        <c:delete val="0"/>
        <c:axPos val="b"/>
        <c:numFmt formatCode="[$-409]mmm\-yyyy;@" sourceLinked="1"/>
        <c:majorTickMark val="out"/>
        <c:minorTickMark val="none"/>
        <c:tickLblPos val="nextTo"/>
        <c:crossAx val="251418496"/>
        <c:crosses val="autoZero"/>
        <c:auto val="0"/>
        <c:lblAlgn val="ctr"/>
        <c:lblOffset val="100"/>
        <c:noMultiLvlLbl val="0"/>
      </c:catAx>
      <c:valAx>
        <c:axId val="25141849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$ per Recipient</a:t>
                </a:r>
              </a:p>
            </c:rich>
          </c:tx>
          <c:overlay val="0"/>
        </c:title>
        <c:numFmt formatCode="&quot;$&quot;#,##0_);\(&quot;$&quot;#,##0\)" sourceLinked="0"/>
        <c:majorTickMark val="out"/>
        <c:minorTickMark val="none"/>
        <c:tickLblPos val="nextTo"/>
        <c:crossAx val="25141696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Constitutional Budget Reserve +</a:t>
            </a:r>
            <a:r>
              <a:rPr lang="en-US" sz="1600" baseline="0"/>
              <a:t> Misc Funds</a:t>
            </a:r>
            <a:endParaRPr lang="en-US" sz="1600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'HB61 Charts'!$B$4</c:f>
              <c:strCache>
                <c:ptCount val="1"/>
                <c:pt idx="0">
                  <c:v>With HB 61</c:v>
                </c:pt>
              </c:strCache>
            </c:strRef>
          </c:tx>
          <c:marker>
            <c:symbol val="none"/>
          </c:marker>
          <c:xVal>
            <c:numRef>
              <c:f>'HB 61 Charts Helper'!$A$14:$A$75</c:f>
              <c:numCache>
                <c:formatCode>d\-mmm\-yy</c:formatCode>
                <c:ptCount val="62"/>
                <c:pt idx="0">
                  <c:v>42916</c:v>
                </c:pt>
                <c:pt idx="1">
                  <c:v>42931</c:v>
                </c:pt>
                <c:pt idx="2">
                  <c:v>42962</c:v>
                </c:pt>
                <c:pt idx="3">
                  <c:v>42993</c:v>
                </c:pt>
                <c:pt idx="4">
                  <c:v>43023</c:v>
                </c:pt>
                <c:pt idx="5">
                  <c:v>43054</c:v>
                </c:pt>
                <c:pt idx="6">
                  <c:v>43084</c:v>
                </c:pt>
                <c:pt idx="7">
                  <c:v>43115</c:v>
                </c:pt>
                <c:pt idx="8">
                  <c:v>43146</c:v>
                </c:pt>
                <c:pt idx="9">
                  <c:v>43174</c:v>
                </c:pt>
                <c:pt idx="10">
                  <c:v>43205</c:v>
                </c:pt>
                <c:pt idx="11">
                  <c:v>43235</c:v>
                </c:pt>
                <c:pt idx="12">
                  <c:v>43266</c:v>
                </c:pt>
                <c:pt idx="13">
                  <c:v>43296</c:v>
                </c:pt>
                <c:pt idx="14">
                  <c:v>43327</c:v>
                </c:pt>
                <c:pt idx="15">
                  <c:v>43358</c:v>
                </c:pt>
                <c:pt idx="16">
                  <c:v>43388</c:v>
                </c:pt>
                <c:pt idx="17">
                  <c:v>43419</c:v>
                </c:pt>
                <c:pt idx="18">
                  <c:v>43449</c:v>
                </c:pt>
                <c:pt idx="19">
                  <c:v>43480</c:v>
                </c:pt>
                <c:pt idx="20">
                  <c:v>43511</c:v>
                </c:pt>
                <c:pt idx="21">
                  <c:v>43539</c:v>
                </c:pt>
                <c:pt idx="22">
                  <c:v>43570</c:v>
                </c:pt>
                <c:pt idx="23">
                  <c:v>43600</c:v>
                </c:pt>
                <c:pt idx="24">
                  <c:v>43631</c:v>
                </c:pt>
                <c:pt idx="25">
                  <c:v>43661</c:v>
                </c:pt>
                <c:pt idx="26">
                  <c:v>43692</c:v>
                </c:pt>
                <c:pt idx="27">
                  <c:v>43723</c:v>
                </c:pt>
                <c:pt idx="28">
                  <c:v>43753</c:v>
                </c:pt>
                <c:pt idx="29">
                  <c:v>43784</c:v>
                </c:pt>
                <c:pt idx="30">
                  <c:v>43814</c:v>
                </c:pt>
                <c:pt idx="31">
                  <c:v>43845</c:v>
                </c:pt>
                <c:pt idx="32">
                  <c:v>43876</c:v>
                </c:pt>
                <c:pt idx="33">
                  <c:v>43905</c:v>
                </c:pt>
                <c:pt idx="34">
                  <c:v>43936</c:v>
                </c:pt>
                <c:pt idx="35">
                  <c:v>43966</c:v>
                </c:pt>
                <c:pt idx="36">
                  <c:v>43997</c:v>
                </c:pt>
                <c:pt idx="37">
                  <c:v>44027</c:v>
                </c:pt>
                <c:pt idx="38">
                  <c:v>44058</c:v>
                </c:pt>
                <c:pt idx="39">
                  <c:v>44089</c:v>
                </c:pt>
                <c:pt idx="40">
                  <c:v>44119</c:v>
                </c:pt>
                <c:pt idx="41">
                  <c:v>44150</c:v>
                </c:pt>
                <c:pt idx="42">
                  <c:v>44180</c:v>
                </c:pt>
                <c:pt idx="43">
                  <c:v>44211</c:v>
                </c:pt>
                <c:pt idx="44">
                  <c:v>44242</c:v>
                </c:pt>
                <c:pt idx="45">
                  <c:v>44270</c:v>
                </c:pt>
                <c:pt idx="46">
                  <c:v>44301</c:v>
                </c:pt>
                <c:pt idx="47">
                  <c:v>44331</c:v>
                </c:pt>
                <c:pt idx="48">
                  <c:v>44362</c:v>
                </c:pt>
                <c:pt idx="49">
                  <c:v>44392</c:v>
                </c:pt>
                <c:pt idx="50">
                  <c:v>44423</c:v>
                </c:pt>
                <c:pt idx="51">
                  <c:v>44454</c:v>
                </c:pt>
                <c:pt idx="52">
                  <c:v>44484</c:v>
                </c:pt>
                <c:pt idx="53">
                  <c:v>44515</c:v>
                </c:pt>
                <c:pt idx="54">
                  <c:v>44545</c:v>
                </c:pt>
                <c:pt idx="55">
                  <c:v>44576</c:v>
                </c:pt>
                <c:pt idx="56">
                  <c:v>44607</c:v>
                </c:pt>
                <c:pt idx="57">
                  <c:v>44635</c:v>
                </c:pt>
                <c:pt idx="58">
                  <c:v>44666</c:v>
                </c:pt>
                <c:pt idx="59">
                  <c:v>44696</c:v>
                </c:pt>
                <c:pt idx="60">
                  <c:v>44727</c:v>
                </c:pt>
                <c:pt idx="61">
                  <c:v>44742</c:v>
                </c:pt>
              </c:numCache>
            </c:numRef>
          </c:xVal>
          <c:yVal>
            <c:numRef>
              <c:f>'HB 61 Charts Helper'!$I$14:$I$75</c:f>
              <c:numCache>
                <c:formatCode>_(* #,##0_);_(* \(#,##0\);_(* "-"??_);_(@_)</c:formatCode>
                <c:ptCount val="62"/>
                <c:pt idx="0">
                  <c:v>6171.7926000000007</c:v>
                </c:pt>
                <c:pt idx="1">
                  <c:v>6111.2773842499764</c:v>
                </c:pt>
                <c:pt idx="2">
                  <c:v>5986.2126050332608</c:v>
                </c:pt>
                <c:pt idx="3">
                  <c:v>5861.1478258165444</c:v>
                </c:pt>
                <c:pt idx="4">
                  <c:v>5740.1173943164968</c:v>
                </c:pt>
                <c:pt idx="5">
                  <c:v>5615.0526150997812</c:v>
                </c:pt>
                <c:pt idx="6">
                  <c:v>5494.0221835997327</c:v>
                </c:pt>
                <c:pt idx="7">
                  <c:v>5368.9574043830171</c:v>
                </c:pt>
                <c:pt idx="8">
                  <c:v>5243.8926251663015</c:v>
                </c:pt>
                <c:pt idx="9">
                  <c:v>5130.9308890995899</c:v>
                </c:pt>
                <c:pt idx="10">
                  <c:v>5005.8661098828734</c:v>
                </c:pt>
                <c:pt idx="11">
                  <c:v>4884.8356783828258</c:v>
                </c:pt>
                <c:pt idx="12">
                  <c:v>4759.7708991661102</c:v>
                </c:pt>
                <c:pt idx="13">
                  <c:v>4683.2640647791222</c:v>
                </c:pt>
                <c:pt idx="14">
                  <c:v>4650.2147195960642</c:v>
                </c:pt>
                <c:pt idx="15">
                  <c:v>4617.1653744130062</c:v>
                </c:pt>
                <c:pt idx="16">
                  <c:v>4585.1821371390797</c:v>
                </c:pt>
                <c:pt idx="17">
                  <c:v>4552.1327919560217</c:v>
                </c:pt>
                <c:pt idx="18">
                  <c:v>4520.1495546820943</c:v>
                </c:pt>
                <c:pt idx="19">
                  <c:v>4487.1002094990372</c:v>
                </c:pt>
                <c:pt idx="20">
                  <c:v>4454.0508643159792</c:v>
                </c:pt>
                <c:pt idx="21">
                  <c:v>4424.1998428603138</c:v>
                </c:pt>
                <c:pt idx="22">
                  <c:v>4391.1504976772558</c:v>
                </c:pt>
                <c:pt idx="23">
                  <c:v>4359.1672604033283</c:v>
                </c:pt>
                <c:pt idx="24">
                  <c:v>4326.1179152202712</c:v>
                </c:pt>
                <c:pt idx="25">
                  <c:v>4302.5328552137498</c:v>
                </c:pt>
                <c:pt idx="26">
                  <c:v>4286.839743049999</c:v>
                </c:pt>
                <c:pt idx="27">
                  <c:v>4271.1466308862473</c:v>
                </c:pt>
                <c:pt idx="28">
                  <c:v>4255.9597481471337</c:v>
                </c:pt>
                <c:pt idx="29">
                  <c:v>4240.2666359833829</c:v>
                </c:pt>
                <c:pt idx="30">
                  <c:v>4225.0797532442684</c:v>
                </c:pt>
                <c:pt idx="31">
                  <c:v>4209.3866410805176</c:v>
                </c:pt>
                <c:pt idx="32">
                  <c:v>4193.6935289167668</c:v>
                </c:pt>
                <c:pt idx="33">
                  <c:v>4179.0128756022896</c:v>
                </c:pt>
                <c:pt idx="34">
                  <c:v>4163.3197634385388</c:v>
                </c:pt>
                <c:pt idx="35">
                  <c:v>4148.1328806994252</c:v>
                </c:pt>
                <c:pt idx="36">
                  <c:v>4132.4397685356744</c:v>
                </c:pt>
                <c:pt idx="37">
                  <c:v>4119.2324793832131</c:v>
                </c:pt>
                <c:pt idx="38">
                  <c:v>4107.6305272985455</c:v>
                </c:pt>
                <c:pt idx="39">
                  <c:v>4096.028575213878</c:v>
                </c:pt>
                <c:pt idx="40">
                  <c:v>4084.8008796480713</c:v>
                </c:pt>
                <c:pt idx="41">
                  <c:v>4073.1989275634037</c:v>
                </c:pt>
                <c:pt idx="42">
                  <c:v>4061.9712319975965</c:v>
                </c:pt>
                <c:pt idx="43">
                  <c:v>4050.369279912929</c:v>
                </c:pt>
                <c:pt idx="44">
                  <c:v>4038.7673278282618</c:v>
                </c:pt>
                <c:pt idx="45">
                  <c:v>4028.2881453001751</c:v>
                </c:pt>
                <c:pt idx="46">
                  <c:v>4016.6861932155075</c:v>
                </c:pt>
                <c:pt idx="47">
                  <c:v>4005.4584976497003</c:v>
                </c:pt>
                <c:pt idx="48">
                  <c:v>3993.8565455650332</c:v>
                </c:pt>
                <c:pt idx="49">
                  <c:v>3984.4954653726199</c:v>
                </c:pt>
                <c:pt idx="50">
                  <c:v>3976.7511850596343</c:v>
                </c:pt>
                <c:pt idx="51">
                  <c:v>3969.0069047466491</c:v>
                </c:pt>
                <c:pt idx="52">
                  <c:v>3961.5124399276306</c:v>
                </c:pt>
                <c:pt idx="53">
                  <c:v>3953.7681596146449</c:v>
                </c:pt>
                <c:pt idx="54">
                  <c:v>3946.2736947956269</c:v>
                </c:pt>
                <c:pt idx="55">
                  <c:v>3938.5294144826412</c:v>
                </c:pt>
                <c:pt idx="56">
                  <c:v>3930.7851341696555</c:v>
                </c:pt>
                <c:pt idx="57">
                  <c:v>3923.7903003385718</c:v>
                </c:pt>
                <c:pt idx="58">
                  <c:v>3916.0460200255861</c:v>
                </c:pt>
                <c:pt idx="59">
                  <c:v>3908.5515552065676</c:v>
                </c:pt>
                <c:pt idx="60">
                  <c:v>3900.8072748935824</c:v>
                </c:pt>
                <c:pt idx="61">
                  <c:v>3897.0600424840732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B74-4CF5-899B-9A361825CFFB}"/>
            </c:ext>
          </c:extLst>
        </c:ser>
        <c:ser>
          <c:idx val="1"/>
          <c:order val="1"/>
          <c:tx>
            <c:v>Status Quo</c:v>
          </c:tx>
          <c:marker>
            <c:symbol val="none"/>
          </c:marker>
          <c:xVal>
            <c:numRef>
              <c:f>'HB 61 Charts Helper'!$A$14:$A$75</c:f>
              <c:numCache>
                <c:formatCode>d\-mmm\-yy</c:formatCode>
                <c:ptCount val="62"/>
                <c:pt idx="0">
                  <c:v>42916</c:v>
                </c:pt>
                <c:pt idx="1">
                  <c:v>42931</c:v>
                </c:pt>
                <c:pt idx="2">
                  <c:v>42962</c:v>
                </c:pt>
                <c:pt idx="3">
                  <c:v>42993</c:v>
                </c:pt>
                <c:pt idx="4">
                  <c:v>43023</c:v>
                </c:pt>
                <c:pt idx="5">
                  <c:v>43054</c:v>
                </c:pt>
                <c:pt idx="6">
                  <c:v>43084</c:v>
                </c:pt>
                <c:pt idx="7">
                  <c:v>43115</c:v>
                </c:pt>
                <c:pt idx="8">
                  <c:v>43146</c:v>
                </c:pt>
                <c:pt idx="9">
                  <c:v>43174</c:v>
                </c:pt>
                <c:pt idx="10">
                  <c:v>43205</c:v>
                </c:pt>
                <c:pt idx="11">
                  <c:v>43235</c:v>
                </c:pt>
                <c:pt idx="12">
                  <c:v>43266</c:v>
                </c:pt>
                <c:pt idx="13">
                  <c:v>43296</c:v>
                </c:pt>
                <c:pt idx="14">
                  <c:v>43327</c:v>
                </c:pt>
                <c:pt idx="15">
                  <c:v>43358</c:v>
                </c:pt>
                <c:pt idx="16">
                  <c:v>43388</c:v>
                </c:pt>
                <c:pt idx="17">
                  <c:v>43419</c:v>
                </c:pt>
                <c:pt idx="18">
                  <c:v>43449</c:v>
                </c:pt>
                <c:pt idx="19">
                  <c:v>43480</c:v>
                </c:pt>
                <c:pt idx="20">
                  <c:v>43511</c:v>
                </c:pt>
                <c:pt idx="21">
                  <c:v>43539</c:v>
                </c:pt>
                <c:pt idx="22">
                  <c:v>43570</c:v>
                </c:pt>
                <c:pt idx="23">
                  <c:v>43600</c:v>
                </c:pt>
                <c:pt idx="24">
                  <c:v>43631</c:v>
                </c:pt>
                <c:pt idx="25">
                  <c:v>43661</c:v>
                </c:pt>
                <c:pt idx="26">
                  <c:v>43692</c:v>
                </c:pt>
                <c:pt idx="27">
                  <c:v>43723</c:v>
                </c:pt>
                <c:pt idx="28">
                  <c:v>43753</c:v>
                </c:pt>
                <c:pt idx="29">
                  <c:v>43784</c:v>
                </c:pt>
                <c:pt idx="30">
                  <c:v>43814</c:v>
                </c:pt>
                <c:pt idx="31">
                  <c:v>43845</c:v>
                </c:pt>
                <c:pt idx="32">
                  <c:v>43876</c:v>
                </c:pt>
                <c:pt idx="33">
                  <c:v>43905</c:v>
                </c:pt>
                <c:pt idx="34">
                  <c:v>43936</c:v>
                </c:pt>
                <c:pt idx="35">
                  <c:v>43966</c:v>
                </c:pt>
                <c:pt idx="36">
                  <c:v>43997</c:v>
                </c:pt>
                <c:pt idx="37">
                  <c:v>44027</c:v>
                </c:pt>
                <c:pt idx="38">
                  <c:v>44058</c:v>
                </c:pt>
                <c:pt idx="39">
                  <c:v>44089</c:v>
                </c:pt>
                <c:pt idx="40">
                  <c:v>44119</c:v>
                </c:pt>
                <c:pt idx="41">
                  <c:v>44150</c:v>
                </c:pt>
                <c:pt idx="42">
                  <c:v>44180</c:v>
                </c:pt>
                <c:pt idx="43">
                  <c:v>44211</c:v>
                </c:pt>
                <c:pt idx="44">
                  <c:v>44242</c:v>
                </c:pt>
                <c:pt idx="45">
                  <c:v>44270</c:v>
                </c:pt>
                <c:pt idx="46">
                  <c:v>44301</c:v>
                </c:pt>
                <c:pt idx="47">
                  <c:v>44331</c:v>
                </c:pt>
                <c:pt idx="48">
                  <c:v>44362</c:v>
                </c:pt>
                <c:pt idx="49">
                  <c:v>44392</c:v>
                </c:pt>
                <c:pt idx="50">
                  <c:v>44423</c:v>
                </c:pt>
                <c:pt idx="51">
                  <c:v>44454</c:v>
                </c:pt>
                <c:pt idx="52">
                  <c:v>44484</c:v>
                </c:pt>
                <c:pt idx="53">
                  <c:v>44515</c:v>
                </c:pt>
                <c:pt idx="54">
                  <c:v>44545</c:v>
                </c:pt>
                <c:pt idx="55">
                  <c:v>44576</c:v>
                </c:pt>
                <c:pt idx="56">
                  <c:v>44607</c:v>
                </c:pt>
                <c:pt idx="57">
                  <c:v>44635</c:v>
                </c:pt>
                <c:pt idx="58">
                  <c:v>44666</c:v>
                </c:pt>
                <c:pt idx="59">
                  <c:v>44696</c:v>
                </c:pt>
                <c:pt idx="60">
                  <c:v>44727</c:v>
                </c:pt>
                <c:pt idx="61">
                  <c:v>44742</c:v>
                </c:pt>
              </c:numCache>
            </c:numRef>
          </c:xVal>
          <c:yVal>
            <c:numRef>
              <c:f>'HB 61 Charts Helper'!$F$14:$F$75</c:f>
              <c:numCache>
                <c:formatCode>_(* #,##0_);_(* \(#,##0\);_(* "-"??_);_(@_)</c:formatCode>
                <c:ptCount val="62"/>
                <c:pt idx="0">
                  <c:v>6171.7926000000007</c:v>
                </c:pt>
                <c:pt idx="1">
                  <c:v>6032.391500800275</c:v>
                </c:pt>
                <c:pt idx="2">
                  <c:v>5744.2958957875071</c:v>
                </c:pt>
                <c:pt idx="3">
                  <c:v>5456.2002907747401</c:v>
                </c:pt>
                <c:pt idx="4">
                  <c:v>5177.3980923752879</c:v>
                </c:pt>
                <c:pt idx="5">
                  <c:v>4889.3024873625209</c:v>
                </c:pt>
                <c:pt idx="6">
                  <c:v>4610.5002889630687</c:v>
                </c:pt>
                <c:pt idx="7">
                  <c:v>4322.4046839503017</c:v>
                </c:pt>
                <c:pt idx="8">
                  <c:v>4034.3090789375347</c:v>
                </c:pt>
                <c:pt idx="9">
                  <c:v>3774.0936937647125</c:v>
                </c:pt>
                <c:pt idx="10">
                  <c:v>3485.9980887519455</c:v>
                </c:pt>
                <c:pt idx="11">
                  <c:v>3207.1958903524937</c:v>
                </c:pt>
                <c:pt idx="12">
                  <c:v>2919.1002853397263</c:v>
                </c:pt>
                <c:pt idx="13">
                  <c:v>2675.4160479131283</c:v>
                </c:pt>
                <c:pt idx="14">
                  <c:v>2459.897562244259</c:v>
                </c:pt>
                <c:pt idx="15">
                  <c:v>2244.3790765753902</c:v>
                </c:pt>
                <c:pt idx="16">
                  <c:v>2035.812800121646</c:v>
                </c:pt>
                <c:pt idx="17">
                  <c:v>1820.2943144527771</c:v>
                </c:pt>
                <c:pt idx="18">
                  <c:v>1611.7280379990329</c:v>
                </c:pt>
                <c:pt idx="19">
                  <c:v>1396.2095523301639</c:v>
                </c:pt>
                <c:pt idx="20">
                  <c:v>1180.6910666612951</c:v>
                </c:pt>
                <c:pt idx="21">
                  <c:v>986.02920863780037</c:v>
                </c:pt>
                <c:pt idx="22">
                  <c:v>770.51072296893153</c:v>
                </c:pt>
                <c:pt idx="23">
                  <c:v>561.94444651518734</c:v>
                </c:pt>
                <c:pt idx="24">
                  <c:v>346.4259608463185</c:v>
                </c:pt>
                <c:pt idx="25">
                  <c:v>140.19610130797076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B74-4CF5-899B-9A361825C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010624"/>
        <c:axId val="182012160"/>
      </c:scatterChart>
      <c:valAx>
        <c:axId val="182010624"/>
        <c:scaling>
          <c:orientation val="minMax"/>
          <c:max val="44742"/>
          <c:min val="42916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&quot;30-&quot;mmm\-yy" sourceLinked="0"/>
        <c:majorTickMark val="out"/>
        <c:minorTickMark val="none"/>
        <c:tickLblPos val="nextTo"/>
        <c:crossAx val="182012160"/>
        <c:crosses val="autoZero"/>
        <c:crossBetween val="midCat"/>
        <c:majorUnit val="365"/>
      </c:valAx>
      <c:valAx>
        <c:axId val="182012160"/>
        <c:scaling>
          <c:orientation val="minMax"/>
          <c:max val="9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$ billions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82010624"/>
        <c:crosses val="autoZero"/>
        <c:crossBetween val="midCat"/>
        <c:dispUnits>
          <c:builtInUnit val="thousands"/>
        </c:dispUnits>
      </c:valAx>
    </c:plotArea>
    <c:legend>
      <c:legendPos val="t"/>
      <c:overlay val="0"/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 horizontalDpi="-3" verticalDpi="-3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Permanent Fund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'HB61 Charts'!$B$4</c:f>
              <c:strCache>
                <c:ptCount val="1"/>
                <c:pt idx="0">
                  <c:v>With HB 61</c:v>
                </c:pt>
              </c:strCache>
            </c:strRef>
          </c:tx>
          <c:marker>
            <c:symbol val="none"/>
          </c:marker>
          <c:xVal>
            <c:numRef>
              <c:f>'HB 61 Charts Helper'!$A$4:$F$4</c:f>
              <c:numCache>
                <c:formatCode>d\-mmm\-yy</c:formatCode>
                <c:ptCount val="6"/>
                <c:pt idx="0">
                  <c:v>42916</c:v>
                </c:pt>
                <c:pt idx="1">
                  <c:v>43281</c:v>
                </c:pt>
                <c:pt idx="2">
                  <c:v>43646</c:v>
                </c:pt>
                <c:pt idx="3">
                  <c:v>44012</c:v>
                </c:pt>
                <c:pt idx="4">
                  <c:v>44377</c:v>
                </c:pt>
                <c:pt idx="5">
                  <c:v>44742</c:v>
                </c:pt>
              </c:numCache>
            </c:numRef>
          </c:xVal>
          <c:yVal>
            <c:numRef>
              <c:f>'HB61'!$B$99:$G$99</c:f>
              <c:numCache>
                <c:formatCode>#,##0_);[Red]\(#,##0\)</c:formatCode>
                <c:ptCount val="6"/>
                <c:pt idx="0">
                  <c:v>56484.371347073997</c:v>
                </c:pt>
                <c:pt idx="1">
                  <c:v>57893.723776643848</c:v>
                </c:pt>
                <c:pt idx="2">
                  <c:v>59243.949953830604</c:v>
                </c:pt>
                <c:pt idx="3">
                  <c:v>60549.408742550746</c:v>
                </c:pt>
                <c:pt idx="4">
                  <c:v>61863.327355628004</c:v>
                </c:pt>
                <c:pt idx="5">
                  <c:v>63185.837628187001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56-487A-A0BE-E637804FC8C9}"/>
            </c:ext>
          </c:extLst>
        </c:ser>
        <c:ser>
          <c:idx val="1"/>
          <c:order val="1"/>
          <c:tx>
            <c:v>Status Quo</c:v>
          </c:tx>
          <c:marker>
            <c:symbol val="none"/>
          </c:marker>
          <c:xVal>
            <c:numRef>
              <c:f>'HB 61 Charts Helper'!$A$4:$F$4</c:f>
              <c:numCache>
                <c:formatCode>d\-mmm\-yy</c:formatCode>
                <c:ptCount val="6"/>
                <c:pt idx="0">
                  <c:v>42916</c:v>
                </c:pt>
                <c:pt idx="1">
                  <c:v>43281</c:v>
                </c:pt>
                <c:pt idx="2">
                  <c:v>43646</c:v>
                </c:pt>
                <c:pt idx="3">
                  <c:v>44012</c:v>
                </c:pt>
                <c:pt idx="4">
                  <c:v>44377</c:v>
                </c:pt>
                <c:pt idx="5">
                  <c:v>44742</c:v>
                </c:pt>
              </c:numCache>
            </c:numRef>
          </c:xVal>
          <c:yVal>
            <c:numRef>
              <c:f>'PF Model'!$G$28:$L$28</c:f>
              <c:numCache>
                <c:formatCode>_(* #,##0_);_(* \(#,##0\);_(* "-"??_);_(@_)</c:formatCode>
                <c:ptCount val="6"/>
                <c:pt idx="0">
                  <c:v>56484.371347073997</c:v>
                </c:pt>
                <c:pt idx="1">
                  <c:v>59057.187646130886</c:v>
                </c:pt>
                <c:pt idx="2">
                  <c:v>61786.298702676024</c:v>
                </c:pt>
                <c:pt idx="3">
                  <c:v>62469.954502832501</c:v>
                </c:pt>
                <c:pt idx="4">
                  <c:v>62869.258320105262</c:v>
                </c:pt>
                <c:pt idx="5">
                  <c:v>63122.681706917727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C56-487A-A0BE-E637804FC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196736"/>
        <c:axId val="230198272"/>
      </c:scatterChart>
      <c:valAx>
        <c:axId val="230196736"/>
        <c:scaling>
          <c:orientation val="minMax"/>
          <c:max val="44742"/>
          <c:min val="42916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&quot;30-&quot;mmm\-yy" sourceLinked="0"/>
        <c:majorTickMark val="out"/>
        <c:minorTickMark val="none"/>
        <c:tickLblPos val="nextTo"/>
        <c:crossAx val="230198272"/>
        <c:crosses val="autoZero"/>
        <c:crossBetween val="midCat"/>
        <c:majorUnit val="365"/>
      </c:valAx>
      <c:valAx>
        <c:axId val="230198272"/>
        <c:scaling>
          <c:orientation val="minMax"/>
          <c:max val="70000"/>
          <c:min val="4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$ billions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30196736"/>
        <c:crosses val="autoZero"/>
        <c:crossBetween val="midCat"/>
        <c:dispUnits>
          <c:builtInUnit val="thousands"/>
        </c:dispUnits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Permanent</a:t>
            </a:r>
            <a:r>
              <a:rPr lang="en-US" baseline="0"/>
              <a:t> Fund</a:t>
            </a:r>
            <a:r>
              <a:rPr lang="en-US"/>
              <a:t> Earnings Reserve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'HB61 Charts'!$B$4</c:f>
              <c:strCache>
                <c:ptCount val="1"/>
                <c:pt idx="0">
                  <c:v>With HB 61</c:v>
                </c:pt>
              </c:strCache>
            </c:strRef>
          </c:tx>
          <c:marker>
            <c:symbol val="none"/>
          </c:marker>
          <c:xVal>
            <c:numRef>
              <c:f>'HB 61 Charts Helper'!$A$14:$A$75</c:f>
              <c:numCache>
                <c:formatCode>d\-mmm\-yy</c:formatCode>
                <c:ptCount val="62"/>
                <c:pt idx="0">
                  <c:v>42916</c:v>
                </c:pt>
                <c:pt idx="1">
                  <c:v>42931</c:v>
                </c:pt>
                <c:pt idx="2">
                  <c:v>42962</c:v>
                </c:pt>
                <c:pt idx="3">
                  <c:v>42993</c:v>
                </c:pt>
                <c:pt idx="4">
                  <c:v>43023</c:v>
                </c:pt>
                <c:pt idx="5">
                  <c:v>43054</c:v>
                </c:pt>
                <c:pt idx="6">
                  <c:v>43084</c:v>
                </c:pt>
                <c:pt idx="7">
                  <c:v>43115</c:v>
                </c:pt>
                <c:pt idx="8">
                  <c:v>43146</c:v>
                </c:pt>
                <c:pt idx="9">
                  <c:v>43174</c:v>
                </c:pt>
                <c:pt idx="10">
                  <c:v>43205</c:v>
                </c:pt>
                <c:pt idx="11">
                  <c:v>43235</c:v>
                </c:pt>
                <c:pt idx="12">
                  <c:v>43266</c:v>
                </c:pt>
                <c:pt idx="13">
                  <c:v>43296</c:v>
                </c:pt>
                <c:pt idx="14">
                  <c:v>43327</c:v>
                </c:pt>
                <c:pt idx="15">
                  <c:v>43358</c:v>
                </c:pt>
                <c:pt idx="16">
                  <c:v>43388</c:v>
                </c:pt>
                <c:pt idx="17">
                  <c:v>43419</c:v>
                </c:pt>
                <c:pt idx="18">
                  <c:v>43449</c:v>
                </c:pt>
                <c:pt idx="19">
                  <c:v>43480</c:v>
                </c:pt>
                <c:pt idx="20">
                  <c:v>43511</c:v>
                </c:pt>
                <c:pt idx="21">
                  <c:v>43539</c:v>
                </c:pt>
                <c:pt idx="22">
                  <c:v>43570</c:v>
                </c:pt>
                <c:pt idx="23">
                  <c:v>43600</c:v>
                </c:pt>
                <c:pt idx="24">
                  <c:v>43631</c:v>
                </c:pt>
                <c:pt idx="25">
                  <c:v>43661</c:v>
                </c:pt>
                <c:pt idx="26">
                  <c:v>43692</c:v>
                </c:pt>
                <c:pt idx="27">
                  <c:v>43723</c:v>
                </c:pt>
                <c:pt idx="28">
                  <c:v>43753</c:v>
                </c:pt>
                <c:pt idx="29">
                  <c:v>43784</c:v>
                </c:pt>
                <c:pt idx="30">
                  <c:v>43814</c:v>
                </c:pt>
                <c:pt idx="31">
                  <c:v>43845</c:v>
                </c:pt>
                <c:pt idx="32">
                  <c:v>43876</c:v>
                </c:pt>
                <c:pt idx="33">
                  <c:v>43905</c:v>
                </c:pt>
                <c:pt idx="34">
                  <c:v>43936</c:v>
                </c:pt>
                <c:pt idx="35">
                  <c:v>43966</c:v>
                </c:pt>
                <c:pt idx="36">
                  <c:v>43997</c:v>
                </c:pt>
                <c:pt idx="37">
                  <c:v>44027</c:v>
                </c:pt>
                <c:pt idx="38">
                  <c:v>44058</c:v>
                </c:pt>
                <c:pt idx="39">
                  <c:v>44089</c:v>
                </c:pt>
                <c:pt idx="40">
                  <c:v>44119</c:v>
                </c:pt>
                <c:pt idx="41">
                  <c:v>44150</c:v>
                </c:pt>
                <c:pt idx="42">
                  <c:v>44180</c:v>
                </c:pt>
                <c:pt idx="43">
                  <c:v>44211</c:v>
                </c:pt>
                <c:pt idx="44">
                  <c:v>44242</c:v>
                </c:pt>
                <c:pt idx="45">
                  <c:v>44270</c:v>
                </c:pt>
                <c:pt idx="46">
                  <c:v>44301</c:v>
                </c:pt>
                <c:pt idx="47">
                  <c:v>44331</c:v>
                </c:pt>
                <c:pt idx="48">
                  <c:v>44362</c:v>
                </c:pt>
                <c:pt idx="49">
                  <c:v>44392</c:v>
                </c:pt>
                <c:pt idx="50">
                  <c:v>44423</c:v>
                </c:pt>
                <c:pt idx="51">
                  <c:v>44454</c:v>
                </c:pt>
                <c:pt idx="52">
                  <c:v>44484</c:v>
                </c:pt>
                <c:pt idx="53">
                  <c:v>44515</c:v>
                </c:pt>
                <c:pt idx="54">
                  <c:v>44545</c:v>
                </c:pt>
                <c:pt idx="55">
                  <c:v>44576</c:v>
                </c:pt>
                <c:pt idx="56">
                  <c:v>44607</c:v>
                </c:pt>
                <c:pt idx="57">
                  <c:v>44635</c:v>
                </c:pt>
                <c:pt idx="58">
                  <c:v>44666</c:v>
                </c:pt>
                <c:pt idx="59">
                  <c:v>44696</c:v>
                </c:pt>
                <c:pt idx="60">
                  <c:v>44727</c:v>
                </c:pt>
                <c:pt idx="61">
                  <c:v>44742</c:v>
                </c:pt>
              </c:numCache>
            </c:numRef>
          </c:xVal>
          <c:yVal>
            <c:numRef>
              <c:f>'HB 61 Charts Helper'!$R$14:$R$75</c:f>
              <c:numCache>
                <c:formatCode>_(* #,##0_);_(* \(#,##0\);_(* "-"??_);_(@_)</c:formatCode>
                <c:ptCount val="62"/>
                <c:pt idx="0">
                  <c:v>11670.469051503305</c:v>
                </c:pt>
                <c:pt idx="1">
                  <c:v>11599.754723257034</c:v>
                </c:pt>
                <c:pt idx="2">
                  <c:v>11453.611778214741</c:v>
                </c:pt>
                <c:pt idx="3">
                  <c:v>11307.468833172448</c:v>
                </c:pt>
                <c:pt idx="4">
                  <c:v>11166.040176679906</c:v>
                </c:pt>
                <c:pt idx="5">
                  <c:v>11019.897231637613</c:v>
                </c:pt>
                <c:pt idx="6">
                  <c:v>10878.468575145071</c:v>
                </c:pt>
                <c:pt idx="7">
                  <c:v>10732.325630102776</c:v>
                </c:pt>
                <c:pt idx="8">
                  <c:v>10586.182685060483</c:v>
                </c:pt>
                <c:pt idx="9">
                  <c:v>10454.182605667444</c:v>
                </c:pt>
                <c:pt idx="10">
                  <c:v>10308.039660625151</c:v>
                </c:pt>
                <c:pt idx="11">
                  <c:v>10166.611004132608</c:v>
                </c:pt>
                <c:pt idx="12">
                  <c:v>10020.468059090315</c:v>
                </c:pt>
                <c:pt idx="13">
                  <c:v>9984.0266942569087</c:v>
                </c:pt>
                <c:pt idx="14">
                  <c:v>10054.857485310162</c:v>
                </c:pt>
                <c:pt idx="15">
                  <c:v>10125.688276363415</c:v>
                </c:pt>
                <c:pt idx="16">
                  <c:v>10194.234203189144</c:v>
                </c:pt>
                <c:pt idx="17">
                  <c:v>10265.064994242397</c:v>
                </c:pt>
                <c:pt idx="18">
                  <c:v>10333.610921068126</c:v>
                </c:pt>
                <c:pt idx="19">
                  <c:v>10404.441712121379</c:v>
                </c:pt>
                <c:pt idx="20">
                  <c:v>10475.272503174632</c:v>
                </c:pt>
                <c:pt idx="21">
                  <c:v>10539.248701545312</c:v>
                </c:pt>
                <c:pt idx="22">
                  <c:v>10610.079492598565</c:v>
                </c:pt>
                <c:pt idx="23">
                  <c:v>10678.625419424294</c:v>
                </c:pt>
                <c:pt idx="24">
                  <c:v>10749.456210477547</c:v>
                </c:pt>
                <c:pt idx="25">
                  <c:v>10811.384280577009</c:v>
                </c:pt>
                <c:pt idx="26">
                  <c:v>10868.538167729308</c:v>
                </c:pt>
                <c:pt idx="27">
                  <c:v>10925.692054881609</c:v>
                </c:pt>
                <c:pt idx="28">
                  <c:v>10981.002268254802</c:v>
                </c:pt>
                <c:pt idx="29">
                  <c:v>11038.156155407103</c:v>
                </c:pt>
                <c:pt idx="30">
                  <c:v>11093.466368780297</c:v>
                </c:pt>
                <c:pt idx="31">
                  <c:v>11150.620255932598</c:v>
                </c:pt>
                <c:pt idx="32">
                  <c:v>11207.774143084898</c:v>
                </c:pt>
                <c:pt idx="33">
                  <c:v>11261.240682678985</c:v>
                </c:pt>
                <c:pt idx="34">
                  <c:v>11318.394569831285</c:v>
                </c:pt>
                <c:pt idx="35">
                  <c:v>11373.704783204479</c:v>
                </c:pt>
                <c:pt idx="36">
                  <c:v>11430.85867035678</c:v>
                </c:pt>
                <c:pt idx="37">
                  <c:v>11470.558497520866</c:v>
                </c:pt>
                <c:pt idx="38">
                  <c:v>11495.450919841007</c:v>
                </c:pt>
                <c:pt idx="39">
                  <c:v>11520.343342161146</c:v>
                </c:pt>
                <c:pt idx="40">
                  <c:v>11544.432783116123</c:v>
                </c:pt>
                <c:pt idx="41">
                  <c:v>11569.325205436264</c:v>
                </c:pt>
                <c:pt idx="42">
                  <c:v>11593.414646391238</c:v>
                </c:pt>
                <c:pt idx="43">
                  <c:v>11618.30706871138</c:v>
                </c:pt>
                <c:pt idx="44">
                  <c:v>11643.199491031521</c:v>
                </c:pt>
                <c:pt idx="45">
                  <c:v>11665.682969256164</c:v>
                </c:pt>
                <c:pt idx="46">
                  <c:v>11690.575391576305</c:v>
                </c:pt>
                <c:pt idx="47">
                  <c:v>11714.66483253128</c:v>
                </c:pt>
                <c:pt idx="48">
                  <c:v>11739.557254851421</c:v>
                </c:pt>
                <c:pt idx="49">
                  <c:v>11765.270111369768</c:v>
                </c:pt>
                <c:pt idx="50">
                  <c:v>11793.517592520879</c:v>
                </c:pt>
                <c:pt idx="51">
                  <c:v>11821.76507367199</c:v>
                </c:pt>
                <c:pt idx="52">
                  <c:v>11849.10134575371</c:v>
                </c:pt>
                <c:pt idx="53">
                  <c:v>11877.348826904821</c:v>
                </c:pt>
                <c:pt idx="54">
                  <c:v>11904.685098986542</c:v>
                </c:pt>
                <c:pt idx="55">
                  <c:v>11932.932580137651</c:v>
                </c:pt>
                <c:pt idx="56">
                  <c:v>11961.180061288762</c:v>
                </c:pt>
                <c:pt idx="57">
                  <c:v>11986.693915231701</c:v>
                </c:pt>
                <c:pt idx="58">
                  <c:v>12014.941396382812</c:v>
                </c:pt>
                <c:pt idx="59">
                  <c:v>12042.277668464532</c:v>
                </c:pt>
                <c:pt idx="60">
                  <c:v>12070.525149615643</c:v>
                </c:pt>
                <c:pt idx="61">
                  <c:v>12084.193285656504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BFA-45FD-AEE9-B03413F01B35}"/>
            </c:ext>
          </c:extLst>
        </c:ser>
        <c:ser>
          <c:idx val="1"/>
          <c:order val="1"/>
          <c:tx>
            <c:v>Status Quo</c:v>
          </c:tx>
          <c:marker>
            <c:symbol val="none"/>
          </c:marker>
          <c:xVal>
            <c:numRef>
              <c:f>'HB 61 Charts Helper'!$A$14:$A$75</c:f>
              <c:numCache>
                <c:formatCode>d\-mmm\-yy</c:formatCode>
                <c:ptCount val="62"/>
                <c:pt idx="0">
                  <c:v>42916</c:v>
                </c:pt>
                <c:pt idx="1">
                  <c:v>42931</c:v>
                </c:pt>
                <c:pt idx="2">
                  <c:v>42962</c:v>
                </c:pt>
                <c:pt idx="3">
                  <c:v>42993</c:v>
                </c:pt>
                <c:pt idx="4">
                  <c:v>43023</c:v>
                </c:pt>
                <c:pt idx="5">
                  <c:v>43054</c:v>
                </c:pt>
                <c:pt idx="6">
                  <c:v>43084</c:v>
                </c:pt>
                <c:pt idx="7">
                  <c:v>43115</c:v>
                </c:pt>
                <c:pt idx="8">
                  <c:v>43146</c:v>
                </c:pt>
                <c:pt idx="9">
                  <c:v>43174</c:v>
                </c:pt>
                <c:pt idx="10">
                  <c:v>43205</c:v>
                </c:pt>
                <c:pt idx="11">
                  <c:v>43235</c:v>
                </c:pt>
                <c:pt idx="12">
                  <c:v>43266</c:v>
                </c:pt>
                <c:pt idx="13">
                  <c:v>43296</c:v>
                </c:pt>
                <c:pt idx="14">
                  <c:v>43327</c:v>
                </c:pt>
                <c:pt idx="15">
                  <c:v>43358</c:v>
                </c:pt>
                <c:pt idx="16">
                  <c:v>43388</c:v>
                </c:pt>
                <c:pt idx="17">
                  <c:v>43419</c:v>
                </c:pt>
                <c:pt idx="18">
                  <c:v>43449</c:v>
                </c:pt>
                <c:pt idx="19">
                  <c:v>43480</c:v>
                </c:pt>
                <c:pt idx="20">
                  <c:v>43511</c:v>
                </c:pt>
                <c:pt idx="21">
                  <c:v>43539</c:v>
                </c:pt>
                <c:pt idx="22">
                  <c:v>43570</c:v>
                </c:pt>
                <c:pt idx="23">
                  <c:v>43600</c:v>
                </c:pt>
                <c:pt idx="24">
                  <c:v>43631</c:v>
                </c:pt>
                <c:pt idx="25">
                  <c:v>43661</c:v>
                </c:pt>
                <c:pt idx="26">
                  <c:v>43692</c:v>
                </c:pt>
                <c:pt idx="27">
                  <c:v>43723</c:v>
                </c:pt>
                <c:pt idx="28">
                  <c:v>43753</c:v>
                </c:pt>
                <c:pt idx="29">
                  <c:v>43784</c:v>
                </c:pt>
                <c:pt idx="30">
                  <c:v>43814</c:v>
                </c:pt>
                <c:pt idx="31">
                  <c:v>43845</c:v>
                </c:pt>
                <c:pt idx="32">
                  <c:v>43876</c:v>
                </c:pt>
                <c:pt idx="33">
                  <c:v>43905</c:v>
                </c:pt>
                <c:pt idx="34">
                  <c:v>43936</c:v>
                </c:pt>
                <c:pt idx="35">
                  <c:v>43966</c:v>
                </c:pt>
                <c:pt idx="36">
                  <c:v>43997</c:v>
                </c:pt>
                <c:pt idx="37">
                  <c:v>44027</c:v>
                </c:pt>
                <c:pt idx="38">
                  <c:v>44058</c:v>
                </c:pt>
                <c:pt idx="39">
                  <c:v>44089</c:v>
                </c:pt>
                <c:pt idx="40">
                  <c:v>44119</c:v>
                </c:pt>
                <c:pt idx="41">
                  <c:v>44150</c:v>
                </c:pt>
                <c:pt idx="42">
                  <c:v>44180</c:v>
                </c:pt>
                <c:pt idx="43">
                  <c:v>44211</c:v>
                </c:pt>
                <c:pt idx="44">
                  <c:v>44242</c:v>
                </c:pt>
                <c:pt idx="45">
                  <c:v>44270</c:v>
                </c:pt>
                <c:pt idx="46">
                  <c:v>44301</c:v>
                </c:pt>
                <c:pt idx="47">
                  <c:v>44331</c:v>
                </c:pt>
                <c:pt idx="48">
                  <c:v>44362</c:v>
                </c:pt>
                <c:pt idx="49">
                  <c:v>44392</c:v>
                </c:pt>
                <c:pt idx="50">
                  <c:v>44423</c:v>
                </c:pt>
                <c:pt idx="51">
                  <c:v>44454</c:v>
                </c:pt>
                <c:pt idx="52">
                  <c:v>44484</c:v>
                </c:pt>
                <c:pt idx="53">
                  <c:v>44515</c:v>
                </c:pt>
                <c:pt idx="54">
                  <c:v>44545</c:v>
                </c:pt>
                <c:pt idx="55">
                  <c:v>44576</c:v>
                </c:pt>
                <c:pt idx="56">
                  <c:v>44607</c:v>
                </c:pt>
                <c:pt idx="57">
                  <c:v>44635</c:v>
                </c:pt>
                <c:pt idx="58">
                  <c:v>44666</c:v>
                </c:pt>
                <c:pt idx="59">
                  <c:v>44696</c:v>
                </c:pt>
                <c:pt idx="60">
                  <c:v>44727</c:v>
                </c:pt>
                <c:pt idx="61">
                  <c:v>44742</c:v>
                </c:pt>
              </c:numCache>
            </c:numRef>
          </c:xVal>
          <c:yVal>
            <c:numRef>
              <c:f>'HB 61 Charts Helper'!$O$14:$O$75</c:f>
              <c:numCache>
                <c:formatCode>_(* #,##0_);_(* \(#,##0\);_(* "-"??_);_(@_)</c:formatCode>
                <c:ptCount val="62"/>
                <c:pt idx="0">
                  <c:v>11670.469051503305</c:v>
                </c:pt>
                <c:pt idx="1">
                  <c:v>11717.121374616017</c:v>
                </c:pt>
                <c:pt idx="2">
                  <c:v>11813.536175715624</c:v>
                </c:pt>
                <c:pt idx="3">
                  <c:v>11909.950976815231</c:v>
                </c:pt>
                <c:pt idx="4">
                  <c:v>12003.255623040657</c:v>
                </c:pt>
                <c:pt idx="5">
                  <c:v>12099.670424140264</c:v>
                </c:pt>
                <c:pt idx="6">
                  <c:v>12192.97507036569</c:v>
                </c:pt>
                <c:pt idx="7">
                  <c:v>12289.389871465297</c:v>
                </c:pt>
                <c:pt idx="8">
                  <c:v>12385.804672564904</c:v>
                </c:pt>
                <c:pt idx="9">
                  <c:v>12472.889009041968</c:v>
                </c:pt>
                <c:pt idx="10">
                  <c:v>12569.303810141573</c:v>
                </c:pt>
                <c:pt idx="11">
                  <c:v>12662.608456366999</c:v>
                </c:pt>
                <c:pt idx="12">
                  <c:v>12759.023257466606</c:v>
                </c:pt>
                <c:pt idx="13">
                  <c:v>12856.238567607981</c:v>
                </c:pt>
                <c:pt idx="14">
                  <c:v>12960.735407467213</c:v>
                </c:pt>
                <c:pt idx="15">
                  <c:v>13065.232247326447</c:v>
                </c:pt>
                <c:pt idx="16">
                  <c:v>13166.358221383769</c:v>
                </c:pt>
                <c:pt idx="17">
                  <c:v>13270.855061243001</c:v>
                </c:pt>
                <c:pt idx="18">
                  <c:v>13371.981035300323</c:v>
                </c:pt>
                <c:pt idx="19">
                  <c:v>13476.477875159555</c:v>
                </c:pt>
                <c:pt idx="20">
                  <c:v>13580.974715018789</c:v>
                </c:pt>
                <c:pt idx="21">
                  <c:v>13675.358957472288</c:v>
                </c:pt>
                <c:pt idx="22">
                  <c:v>13779.855797331522</c:v>
                </c:pt>
                <c:pt idx="23">
                  <c:v>13880.981771388844</c:v>
                </c:pt>
                <c:pt idx="24">
                  <c:v>13985.478611248076</c:v>
                </c:pt>
                <c:pt idx="25">
                  <c:v>13991.153843611557</c:v>
                </c:pt>
                <c:pt idx="26">
                  <c:v>13898.385817303517</c:v>
                </c:pt>
                <c:pt idx="27">
                  <c:v>13805.617790995479</c:v>
                </c:pt>
                <c:pt idx="28">
                  <c:v>13715.842281665116</c:v>
                </c:pt>
                <c:pt idx="29">
                  <c:v>13623.074255357078</c:v>
                </c:pt>
                <c:pt idx="30">
                  <c:v>13533.298746026716</c:v>
                </c:pt>
                <c:pt idx="31">
                  <c:v>13440.530719718678</c:v>
                </c:pt>
                <c:pt idx="32">
                  <c:v>13347.762693410637</c:v>
                </c:pt>
                <c:pt idx="33">
                  <c:v>13260.979701057955</c:v>
                </c:pt>
                <c:pt idx="34">
                  <c:v>13168.211674749915</c:v>
                </c:pt>
                <c:pt idx="35">
                  <c:v>13078.436165419555</c:v>
                </c:pt>
                <c:pt idx="36">
                  <c:v>12985.668139111516</c:v>
                </c:pt>
                <c:pt idx="37">
                  <c:v>12879.750886627115</c:v>
                </c:pt>
                <c:pt idx="38">
                  <c:v>12753.623257800728</c:v>
                </c:pt>
                <c:pt idx="39">
                  <c:v>12627.495628974342</c:v>
                </c:pt>
                <c:pt idx="40">
                  <c:v>12505.436633335903</c:v>
                </c:pt>
                <c:pt idx="41">
                  <c:v>12379.309004509516</c:v>
                </c:pt>
                <c:pt idx="42">
                  <c:v>12257.250008871079</c:v>
                </c:pt>
                <c:pt idx="43">
                  <c:v>12131.122380044691</c:v>
                </c:pt>
                <c:pt idx="44">
                  <c:v>12004.994751218306</c:v>
                </c:pt>
                <c:pt idx="45">
                  <c:v>11891.073021955763</c:v>
                </c:pt>
                <c:pt idx="46">
                  <c:v>11764.945393129376</c:v>
                </c:pt>
                <c:pt idx="47">
                  <c:v>11642.886397490938</c:v>
                </c:pt>
                <c:pt idx="48">
                  <c:v>11516.758768664551</c:v>
                </c:pt>
                <c:pt idx="49">
                  <c:v>11385.235193736542</c:v>
                </c:pt>
                <c:pt idx="50">
                  <c:v>11239.547434378379</c:v>
                </c:pt>
                <c:pt idx="51">
                  <c:v>11093.859675020214</c:v>
                </c:pt>
                <c:pt idx="52">
                  <c:v>10952.871520802637</c:v>
                </c:pt>
                <c:pt idx="53">
                  <c:v>10807.183761444472</c:v>
                </c:pt>
                <c:pt idx="54">
                  <c:v>10666.195607226895</c:v>
                </c:pt>
                <c:pt idx="55">
                  <c:v>10520.50784786873</c:v>
                </c:pt>
                <c:pt idx="56">
                  <c:v>10374.820088510565</c:v>
                </c:pt>
                <c:pt idx="57">
                  <c:v>10243.23114457416</c:v>
                </c:pt>
                <c:pt idx="58">
                  <c:v>10097.543385215995</c:v>
                </c:pt>
                <c:pt idx="59">
                  <c:v>9956.5552309984178</c:v>
                </c:pt>
                <c:pt idx="60">
                  <c:v>9810.8674716402529</c:v>
                </c:pt>
                <c:pt idx="61">
                  <c:v>9740.3733945314652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BFA-45FD-AEE9-B03413F01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2213888"/>
        <c:axId val="233531264"/>
      </c:scatterChart>
      <c:valAx>
        <c:axId val="232213888"/>
        <c:scaling>
          <c:orientation val="minMax"/>
          <c:max val="44742"/>
          <c:min val="42916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&quot;30-&quot;mmm\-yy" sourceLinked="0"/>
        <c:majorTickMark val="out"/>
        <c:minorTickMark val="none"/>
        <c:tickLblPos val="nextTo"/>
        <c:crossAx val="233531264"/>
        <c:crosses val="autoZero"/>
        <c:crossBetween val="midCat"/>
        <c:majorUnit val="365"/>
      </c:valAx>
      <c:valAx>
        <c:axId val="233531264"/>
        <c:scaling>
          <c:orientation val="minMax"/>
          <c:max val="20000"/>
        </c:scaling>
        <c:delete val="0"/>
        <c:axPos val="l"/>
        <c:majorGridlines>
          <c:spPr>
            <a:ln cmpd="sng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$ billions</a:t>
                </a:r>
              </a:p>
            </c:rich>
          </c:tx>
          <c:overlay val="0"/>
        </c:title>
        <c:numFmt formatCode="0_);[Red]\(0\)" sourceLinked="0"/>
        <c:majorTickMark val="out"/>
        <c:minorTickMark val="none"/>
        <c:tickLblPos val="nextTo"/>
        <c:crossAx val="232213888"/>
        <c:crosses val="autoZero"/>
        <c:crossBetween val="midCat"/>
        <c:dispUnits>
          <c:builtInUnit val="thousands"/>
        </c:dispUnits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Dividend Check Forecast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'HB61 Charts'!$B$4</c:f>
              <c:strCache>
                <c:ptCount val="1"/>
                <c:pt idx="0">
                  <c:v>With HB 61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'HB61'!$C$106:$G$106</c:f>
              <c:numCache>
                <c:formatCode>[$-409]mmm\-yyyy;@</c:formatCode>
                <c:ptCount val="5"/>
                <c:pt idx="0">
                  <c:v>43009</c:v>
                </c:pt>
                <c:pt idx="1">
                  <c:v>43374</c:v>
                </c:pt>
                <c:pt idx="2">
                  <c:v>43739</c:v>
                </c:pt>
                <c:pt idx="3">
                  <c:v>44105</c:v>
                </c:pt>
                <c:pt idx="4">
                  <c:v>44470</c:v>
                </c:pt>
              </c:numCache>
            </c:numRef>
          </c:cat>
          <c:val>
            <c:numRef>
              <c:f>'HB61'!$C$107:$G$107</c:f>
              <c:numCache>
                <c:formatCode>#,##0_);[Red]\(#,##0\)</c:formatCode>
                <c:ptCount val="5"/>
                <c:pt idx="0">
                  <c:v>1000.0000000000001</c:v>
                </c:pt>
                <c:pt idx="1">
                  <c:v>1000</c:v>
                </c:pt>
                <c:pt idx="2">
                  <c:v>1030.6033387169769</c:v>
                </c:pt>
                <c:pt idx="3">
                  <c:v>1052.210750821303</c:v>
                </c:pt>
                <c:pt idx="4">
                  <c:v>1073.631275698584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E5-427E-BF13-634AE0433E04}"/>
            </c:ext>
          </c:extLst>
        </c:ser>
        <c:ser>
          <c:idx val="1"/>
          <c:order val="1"/>
          <c:tx>
            <c:v>Status Quo</c:v>
          </c:tx>
          <c:invertIfNegative val="0"/>
          <c:dPt>
            <c:idx val="3"/>
            <c:invertIfNegative val="0"/>
            <c:bubble3D val="0"/>
            <c:spPr>
              <a:noFill/>
              <a:ln w="25400">
                <a:solidFill>
                  <a:schemeClr val="accent2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39E5-427E-BF13-634AE0433E04}"/>
              </c:ext>
            </c:extLst>
          </c:dPt>
          <c:dPt>
            <c:idx val="4"/>
            <c:invertIfNegative val="0"/>
            <c:bubble3D val="0"/>
            <c:spPr>
              <a:noFill/>
              <a:ln w="25400">
                <a:solidFill>
                  <a:schemeClr val="accent2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39E5-427E-BF13-634AE0433E04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'HB61'!$C$106:$G$106</c:f>
              <c:numCache>
                <c:formatCode>[$-409]mmm\-yyyy;@</c:formatCode>
                <c:ptCount val="5"/>
                <c:pt idx="0">
                  <c:v>43009</c:v>
                </c:pt>
                <c:pt idx="1">
                  <c:v>43374</c:v>
                </c:pt>
                <c:pt idx="2">
                  <c:v>43739</c:v>
                </c:pt>
                <c:pt idx="3">
                  <c:v>44105</c:v>
                </c:pt>
                <c:pt idx="4">
                  <c:v>44470</c:v>
                </c:pt>
              </c:numCache>
            </c:numRef>
          </c:cat>
          <c:val>
            <c:numRef>
              <c:f>'HB61'!$C$108:$G$108</c:f>
              <c:numCache>
                <c:formatCode>#,##0_);[Red]\(#,##0\)</c:formatCode>
                <c:ptCount val="5"/>
                <c:pt idx="0">
                  <c:v>2240.4135886896033</c:v>
                </c:pt>
                <c:pt idx="1">
                  <c:v>2293.4589332172404</c:v>
                </c:pt>
                <c:pt idx="2">
                  <c:v>2275.760482349207</c:v>
                </c:pt>
                <c:pt idx="3">
                  <c:v>2380.838917196153</c:v>
                </c:pt>
                <c:pt idx="4">
                  <c:v>2599.0175137051265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9E5-427E-BF13-634AE0433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416960"/>
        <c:axId val="251418496"/>
      </c:barChart>
      <c:catAx>
        <c:axId val="251416960"/>
        <c:scaling>
          <c:orientation val="minMax"/>
        </c:scaling>
        <c:delete val="0"/>
        <c:axPos val="b"/>
        <c:numFmt formatCode="[$-409]mmm\-yyyy;@" sourceLinked="1"/>
        <c:majorTickMark val="out"/>
        <c:minorTickMark val="none"/>
        <c:tickLblPos val="nextTo"/>
        <c:crossAx val="251418496"/>
        <c:crosses val="autoZero"/>
        <c:auto val="0"/>
        <c:lblAlgn val="ctr"/>
        <c:lblOffset val="100"/>
        <c:noMultiLvlLbl val="0"/>
      </c:catAx>
      <c:valAx>
        <c:axId val="25141849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$ per Recipient</a:t>
                </a:r>
              </a:p>
            </c:rich>
          </c:tx>
          <c:overlay val="0"/>
        </c:title>
        <c:numFmt formatCode="&quot;$&quot;#,##0_);\(&quot;$&quot;#,##0\)" sourceLinked="0"/>
        <c:majorTickMark val="out"/>
        <c:minorTickMark val="none"/>
        <c:tickLblPos val="nextTo"/>
        <c:crossAx val="25141696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Constitutional Budget Reserve + Misc Funds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 With SB 21</c:v>
          </c:tx>
          <c:marker>
            <c:symbol val="none"/>
          </c:marker>
          <c:xVal>
            <c:numRef>
              <c:f>'SB 21 Charts Helper'!$A$11:$A$72</c:f>
              <c:numCache>
                <c:formatCode>d\-mmm\-yy</c:formatCode>
                <c:ptCount val="62"/>
                <c:pt idx="0">
                  <c:v>42916</c:v>
                </c:pt>
                <c:pt idx="1">
                  <c:v>42931</c:v>
                </c:pt>
                <c:pt idx="2">
                  <c:v>42962</c:v>
                </c:pt>
                <c:pt idx="3">
                  <c:v>42993</c:v>
                </c:pt>
                <c:pt idx="4">
                  <c:v>43023</c:v>
                </c:pt>
                <c:pt idx="5">
                  <c:v>43054</c:v>
                </c:pt>
                <c:pt idx="6">
                  <c:v>43084</c:v>
                </c:pt>
                <c:pt idx="7">
                  <c:v>43115</c:v>
                </c:pt>
                <c:pt idx="8">
                  <c:v>43146</c:v>
                </c:pt>
                <c:pt idx="9">
                  <c:v>43174</c:v>
                </c:pt>
                <c:pt idx="10">
                  <c:v>43205</c:v>
                </c:pt>
                <c:pt idx="11">
                  <c:v>43235</c:v>
                </c:pt>
                <c:pt idx="12">
                  <c:v>43266</c:v>
                </c:pt>
                <c:pt idx="13">
                  <c:v>43296</c:v>
                </c:pt>
                <c:pt idx="14">
                  <c:v>43327</c:v>
                </c:pt>
                <c:pt idx="15">
                  <c:v>43358</c:v>
                </c:pt>
                <c:pt idx="16">
                  <c:v>43388</c:v>
                </c:pt>
                <c:pt idx="17">
                  <c:v>43419</c:v>
                </c:pt>
                <c:pt idx="18">
                  <c:v>43449</c:v>
                </c:pt>
                <c:pt idx="19">
                  <c:v>43480</c:v>
                </c:pt>
                <c:pt idx="20">
                  <c:v>43511</c:v>
                </c:pt>
                <c:pt idx="21">
                  <c:v>43539</c:v>
                </c:pt>
                <c:pt idx="22">
                  <c:v>43570</c:v>
                </c:pt>
                <c:pt idx="23">
                  <c:v>43600</c:v>
                </c:pt>
                <c:pt idx="24">
                  <c:v>43631</c:v>
                </c:pt>
                <c:pt idx="25">
                  <c:v>43661</c:v>
                </c:pt>
                <c:pt idx="26">
                  <c:v>43692</c:v>
                </c:pt>
                <c:pt idx="27">
                  <c:v>43723</c:v>
                </c:pt>
                <c:pt idx="28">
                  <c:v>43753</c:v>
                </c:pt>
                <c:pt idx="29">
                  <c:v>43784</c:v>
                </c:pt>
                <c:pt idx="30">
                  <c:v>43814</c:v>
                </c:pt>
                <c:pt idx="31">
                  <c:v>43845</c:v>
                </c:pt>
                <c:pt idx="32">
                  <c:v>43876</c:v>
                </c:pt>
                <c:pt idx="33">
                  <c:v>43905</c:v>
                </c:pt>
                <c:pt idx="34">
                  <c:v>43936</c:v>
                </c:pt>
                <c:pt idx="35">
                  <c:v>43966</c:v>
                </c:pt>
                <c:pt idx="36">
                  <c:v>43997</c:v>
                </c:pt>
                <c:pt idx="37">
                  <c:v>44027</c:v>
                </c:pt>
                <c:pt idx="38">
                  <c:v>44058</c:v>
                </c:pt>
                <c:pt idx="39">
                  <c:v>44089</c:v>
                </c:pt>
                <c:pt idx="40">
                  <c:v>44119</c:v>
                </c:pt>
                <c:pt idx="41">
                  <c:v>44150</c:v>
                </c:pt>
                <c:pt idx="42">
                  <c:v>44180</c:v>
                </c:pt>
                <c:pt idx="43">
                  <c:v>44211</c:v>
                </c:pt>
                <c:pt idx="44">
                  <c:v>44242</c:v>
                </c:pt>
                <c:pt idx="45">
                  <c:v>44270</c:v>
                </c:pt>
                <c:pt idx="46">
                  <c:v>44301</c:v>
                </c:pt>
                <c:pt idx="47">
                  <c:v>44331</c:v>
                </c:pt>
                <c:pt idx="48">
                  <c:v>44362</c:v>
                </c:pt>
                <c:pt idx="49">
                  <c:v>44392</c:v>
                </c:pt>
                <c:pt idx="50">
                  <c:v>44423</c:v>
                </c:pt>
                <c:pt idx="51">
                  <c:v>44454</c:v>
                </c:pt>
                <c:pt idx="52">
                  <c:v>44484</c:v>
                </c:pt>
                <c:pt idx="53">
                  <c:v>44515</c:v>
                </c:pt>
                <c:pt idx="54">
                  <c:v>44545</c:v>
                </c:pt>
                <c:pt idx="55">
                  <c:v>44576</c:v>
                </c:pt>
                <c:pt idx="56">
                  <c:v>44607</c:v>
                </c:pt>
                <c:pt idx="57">
                  <c:v>44635</c:v>
                </c:pt>
                <c:pt idx="58">
                  <c:v>44666</c:v>
                </c:pt>
                <c:pt idx="59">
                  <c:v>44696</c:v>
                </c:pt>
                <c:pt idx="60">
                  <c:v>44727</c:v>
                </c:pt>
                <c:pt idx="61">
                  <c:v>44742</c:v>
                </c:pt>
              </c:numCache>
            </c:numRef>
          </c:xVal>
          <c:yVal>
            <c:numRef>
              <c:f>'SB 21 Charts Helper'!$F$11:$F$72</c:f>
              <c:numCache>
                <c:formatCode>_(* #,##0_);_(* \(#,##0\);_(* "-"??_);_(@_)</c:formatCode>
                <c:ptCount val="62"/>
                <c:pt idx="0">
                  <c:v>6171.7926000000007</c:v>
                </c:pt>
                <c:pt idx="1">
                  <c:v>6080.9464270581657</c:v>
                </c:pt>
                <c:pt idx="2">
                  <c:v>5893.1976696450392</c:v>
                </c:pt>
                <c:pt idx="3">
                  <c:v>5705.4489122319128</c:v>
                </c:pt>
                <c:pt idx="4">
                  <c:v>5523.7565663482428</c:v>
                </c:pt>
                <c:pt idx="5">
                  <c:v>5336.0078089351164</c:v>
                </c:pt>
                <c:pt idx="6">
                  <c:v>5154.3154630514464</c:v>
                </c:pt>
                <c:pt idx="7">
                  <c:v>4966.5667056383199</c:v>
                </c:pt>
                <c:pt idx="8">
                  <c:v>4778.8179482251944</c:v>
                </c:pt>
                <c:pt idx="9">
                  <c:v>4609.2384254004346</c:v>
                </c:pt>
                <c:pt idx="10">
                  <c:v>4421.4896679873091</c:v>
                </c:pt>
                <c:pt idx="11">
                  <c:v>4239.7973221036382</c:v>
                </c:pt>
                <c:pt idx="12">
                  <c:v>4052.0485646905122</c:v>
                </c:pt>
                <c:pt idx="13">
                  <c:v>3909.3875489526249</c:v>
                </c:pt>
                <c:pt idx="14">
                  <c:v>3802.3035405074525</c:v>
                </c:pt>
                <c:pt idx="15">
                  <c:v>3695.21953206228</c:v>
                </c:pt>
                <c:pt idx="16">
                  <c:v>3591.5898464701772</c:v>
                </c:pt>
                <c:pt idx="17">
                  <c:v>3484.5058380250048</c:v>
                </c:pt>
                <c:pt idx="18">
                  <c:v>3380.876152432902</c:v>
                </c:pt>
                <c:pt idx="19">
                  <c:v>3273.7921439877296</c:v>
                </c:pt>
                <c:pt idx="20">
                  <c:v>3166.7081355425571</c:v>
                </c:pt>
                <c:pt idx="21">
                  <c:v>3069.9870956565946</c:v>
                </c:pt>
                <c:pt idx="22">
                  <c:v>2962.9030872114222</c:v>
                </c:pt>
                <c:pt idx="23">
                  <c:v>2859.2734016193194</c:v>
                </c:pt>
                <c:pt idx="24">
                  <c:v>2752.189393174147</c:v>
                </c:pt>
                <c:pt idx="25">
                  <c:v>2652.7239958382866</c:v>
                </c:pt>
                <c:pt idx="26">
                  <c:v>2554.2461831226815</c:v>
                </c:pt>
                <c:pt idx="27">
                  <c:v>2455.768370407076</c:v>
                </c:pt>
                <c:pt idx="28">
                  <c:v>2360.4672613274583</c:v>
                </c:pt>
                <c:pt idx="29">
                  <c:v>2261.9894486118533</c:v>
                </c:pt>
                <c:pt idx="30">
                  <c:v>2166.6883395322352</c:v>
                </c:pt>
                <c:pt idx="31">
                  <c:v>2068.2105268166297</c:v>
                </c:pt>
                <c:pt idx="32">
                  <c:v>1969.7327141010246</c:v>
                </c:pt>
                <c:pt idx="33">
                  <c:v>1877.608308657394</c:v>
                </c:pt>
                <c:pt idx="34">
                  <c:v>1779.1304959417889</c:v>
                </c:pt>
                <c:pt idx="35">
                  <c:v>1683.8293868621708</c:v>
                </c:pt>
                <c:pt idx="36">
                  <c:v>1585.3515741465658</c:v>
                </c:pt>
                <c:pt idx="37">
                  <c:v>1489.5054067251203</c:v>
                </c:pt>
                <c:pt idx="38">
                  <c:v>1389.9011401030714</c:v>
                </c:pt>
                <c:pt idx="39">
                  <c:v>1290.2968734810227</c:v>
                </c:pt>
                <c:pt idx="40">
                  <c:v>1193.9056477177496</c:v>
                </c:pt>
                <c:pt idx="41">
                  <c:v>1094.3013810957009</c:v>
                </c:pt>
                <c:pt idx="42">
                  <c:v>997.91015533242785</c:v>
                </c:pt>
                <c:pt idx="43">
                  <c:v>898.30588871037901</c:v>
                </c:pt>
                <c:pt idx="44">
                  <c:v>798.70162208833028</c:v>
                </c:pt>
                <c:pt idx="45">
                  <c:v>708.73647804260872</c:v>
                </c:pt>
                <c:pt idx="46">
                  <c:v>609.13221142056</c:v>
                </c:pt>
                <c:pt idx="47">
                  <c:v>512.74098565728696</c:v>
                </c:pt>
                <c:pt idx="48">
                  <c:v>413.13671903523823</c:v>
                </c:pt>
                <c:pt idx="49">
                  <c:v>317.09029568480469</c:v>
                </c:pt>
                <c:pt idx="50">
                  <c:v>218.19862071595776</c:v>
                </c:pt>
                <c:pt idx="51">
                  <c:v>119.30694574711086</c:v>
                </c:pt>
                <c:pt idx="52">
                  <c:v>23.605324809517072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BC-4E5D-AA77-4C39CEFDB874}"/>
            </c:ext>
          </c:extLst>
        </c:ser>
        <c:ser>
          <c:idx val="1"/>
          <c:order val="1"/>
          <c:tx>
            <c:v>Status Quo</c:v>
          </c:tx>
          <c:marker>
            <c:symbol val="none"/>
          </c:marker>
          <c:xVal>
            <c:numRef>
              <c:f>'HB 61 Charts Helper'!$A$14:$A$75</c:f>
              <c:numCache>
                <c:formatCode>d\-mmm\-yy</c:formatCode>
                <c:ptCount val="62"/>
                <c:pt idx="0">
                  <c:v>42916</c:v>
                </c:pt>
                <c:pt idx="1">
                  <c:v>42931</c:v>
                </c:pt>
                <c:pt idx="2">
                  <c:v>42962</c:v>
                </c:pt>
                <c:pt idx="3">
                  <c:v>42993</c:v>
                </c:pt>
                <c:pt idx="4">
                  <c:v>43023</c:v>
                </c:pt>
                <c:pt idx="5">
                  <c:v>43054</c:v>
                </c:pt>
                <c:pt idx="6">
                  <c:v>43084</c:v>
                </c:pt>
                <c:pt idx="7">
                  <c:v>43115</c:v>
                </c:pt>
                <c:pt idx="8">
                  <c:v>43146</c:v>
                </c:pt>
                <c:pt idx="9">
                  <c:v>43174</c:v>
                </c:pt>
                <c:pt idx="10">
                  <c:v>43205</c:v>
                </c:pt>
                <c:pt idx="11">
                  <c:v>43235</c:v>
                </c:pt>
                <c:pt idx="12">
                  <c:v>43266</c:v>
                </c:pt>
                <c:pt idx="13">
                  <c:v>43296</c:v>
                </c:pt>
                <c:pt idx="14">
                  <c:v>43327</c:v>
                </c:pt>
                <c:pt idx="15">
                  <c:v>43358</c:v>
                </c:pt>
                <c:pt idx="16">
                  <c:v>43388</c:v>
                </c:pt>
                <c:pt idx="17">
                  <c:v>43419</c:v>
                </c:pt>
                <c:pt idx="18">
                  <c:v>43449</c:v>
                </c:pt>
                <c:pt idx="19">
                  <c:v>43480</c:v>
                </c:pt>
                <c:pt idx="20">
                  <c:v>43511</c:v>
                </c:pt>
                <c:pt idx="21">
                  <c:v>43539</c:v>
                </c:pt>
                <c:pt idx="22">
                  <c:v>43570</c:v>
                </c:pt>
                <c:pt idx="23">
                  <c:v>43600</c:v>
                </c:pt>
                <c:pt idx="24">
                  <c:v>43631</c:v>
                </c:pt>
                <c:pt idx="25">
                  <c:v>43661</c:v>
                </c:pt>
                <c:pt idx="26">
                  <c:v>43692</c:v>
                </c:pt>
                <c:pt idx="27">
                  <c:v>43723</c:v>
                </c:pt>
                <c:pt idx="28">
                  <c:v>43753</c:v>
                </c:pt>
                <c:pt idx="29">
                  <c:v>43784</c:v>
                </c:pt>
                <c:pt idx="30">
                  <c:v>43814</c:v>
                </c:pt>
                <c:pt idx="31">
                  <c:v>43845</c:v>
                </c:pt>
                <c:pt idx="32">
                  <c:v>43876</c:v>
                </c:pt>
                <c:pt idx="33">
                  <c:v>43905</c:v>
                </c:pt>
                <c:pt idx="34">
                  <c:v>43936</c:v>
                </c:pt>
                <c:pt idx="35">
                  <c:v>43966</c:v>
                </c:pt>
                <c:pt idx="36">
                  <c:v>43997</c:v>
                </c:pt>
                <c:pt idx="37">
                  <c:v>44027</c:v>
                </c:pt>
                <c:pt idx="38">
                  <c:v>44058</c:v>
                </c:pt>
                <c:pt idx="39">
                  <c:v>44089</c:v>
                </c:pt>
                <c:pt idx="40">
                  <c:v>44119</c:v>
                </c:pt>
                <c:pt idx="41">
                  <c:v>44150</c:v>
                </c:pt>
                <c:pt idx="42">
                  <c:v>44180</c:v>
                </c:pt>
                <c:pt idx="43">
                  <c:v>44211</c:v>
                </c:pt>
                <c:pt idx="44">
                  <c:v>44242</c:v>
                </c:pt>
                <c:pt idx="45">
                  <c:v>44270</c:v>
                </c:pt>
                <c:pt idx="46">
                  <c:v>44301</c:v>
                </c:pt>
                <c:pt idx="47">
                  <c:v>44331</c:v>
                </c:pt>
                <c:pt idx="48">
                  <c:v>44362</c:v>
                </c:pt>
                <c:pt idx="49">
                  <c:v>44392</c:v>
                </c:pt>
                <c:pt idx="50">
                  <c:v>44423</c:v>
                </c:pt>
                <c:pt idx="51">
                  <c:v>44454</c:v>
                </c:pt>
                <c:pt idx="52">
                  <c:v>44484</c:v>
                </c:pt>
                <c:pt idx="53">
                  <c:v>44515</c:v>
                </c:pt>
                <c:pt idx="54">
                  <c:v>44545</c:v>
                </c:pt>
                <c:pt idx="55">
                  <c:v>44576</c:v>
                </c:pt>
                <c:pt idx="56">
                  <c:v>44607</c:v>
                </c:pt>
                <c:pt idx="57">
                  <c:v>44635</c:v>
                </c:pt>
                <c:pt idx="58">
                  <c:v>44666</c:v>
                </c:pt>
                <c:pt idx="59">
                  <c:v>44696</c:v>
                </c:pt>
                <c:pt idx="60">
                  <c:v>44727</c:v>
                </c:pt>
                <c:pt idx="61">
                  <c:v>44742</c:v>
                </c:pt>
              </c:numCache>
            </c:numRef>
          </c:xVal>
          <c:yVal>
            <c:numRef>
              <c:f>'HB 61 Charts Helper'!$F$14:$F$75</c:f>
              <c:numCache>
                <c:formatCode>_(* #,##0_);_(* \(#,##0\);_(* "-"??_);_(@_)</c:formatCode>
                <c:ptCount val="62"/>
                <c:pt idx="0">
                  <c:v>6171.7926000000007</c:v>
                </c:pt>
                <c:pt idx="1">
                  <c:v>6032.391500800275</c:v>
                </c:pt>
                <c:pt idx="2">
                  <c:v>5744.2958957875071</c:v>
                </c:pt>
                <c:pt idx="3">
                  <c:v>5456.2002907747401</c:v>
                </c:pt>
                <c:pt idx="4">
                  <c:v>5177.3980923752879</c:v>
                </c:pt>
                <c:pt idx="5">
                  <c:v>4889.3024873625209</c:v>
                </c:pt>
                <c:pt idx="6">
                  <c:v>4610.5002889630687</c:v>
                </c:pt>
                <c:pt idx="7">
                  <c:v>4322.4046839503017</c:v>
                </c:pt>
                <c:pt idx="8">
                  <c:v>4034.3090789375347</c:v>
                </c:pt>
                <c:pt idx="9">
                  <c:v>3774.0936937647125</c:v>
                </c:pt>
                <c:pt idx="10">
                  <c:v>3485.9980887519455</c:v>
                </c:pt>
                <c:pt idx="11">
                  <c:v>3207.1958903524937</c:v>
                </c:pt>
                <c:pt idx="12">
                  <c:v>2919.1002853397263</c:v>
                </c:pt>
                <c:pt idx="13">
                  <c:v>2675.4160479131283</c:v>
                </c:pt>
                <c:pt idx="14">
                  <c:v>2459.897562244259</c:v>
                </c:pt>
                <c:pt idx="15">
                  <c:v>2244.3790765753902</c:v>
                </c:pt>
                <c:pt idx="16">
                  <c:v>2035.812800121646</c:v>
                </c:pt>
                <c:pt idx="17">
                  <c:v>1820.2943144527771</c:v>
                </c:pt>
                <c:pt idx="18">
                  <c:v>1611.7280379990329</c:v>
                </c:pt>
                <c:pt idx="19">
                  <c:v>1396.2095523301639</c:v>
                </c:pt>
                <c:pt idx="20">
                  <c:v>1180.6910666612951</c:v>
                </c:pt>
                <c:pt idx="21">
                  <c:v>986.02920863780037</c:v>
                </c:pt>
                <c:pt idx="22">
                  <c:v>770.51072296893153</c:v>
                </c:pt>
                <c:pt idx="23">
                  <c:v>561.94444651518734</c:v>
                </c:pt>
                <c:pt idx="24">
                  <c:v>346.4259608463185</c:v>
                </c:pt>
                <c:pt idx="25">
                  <c:v>140.19610130797076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FBC-4E5D-AA77-4C39CEFDB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6833920"/>
        <c:axId val="266836224"/>
      </c:scatterChart>
      <c:valAx>
        <c:axId val="266833920"/>
        <c:scaling>
          <c:orientation val="minMax"/>
          <c:max val="44742"/>
          <c:min val="42916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&quot;30-&quot;mmm\-yy" sourceLinked="0"/>
        <c:majorTickMark val="out"/>
        <c:minorTickMark val="none"/>
        <c:tickLblPos val="nextTo"/>
        <c:crossAx val="266836224"/>
        <c:crosses val="autoZero"/>
        <c:crossBetween val="midCat"/>
        <c:majorUnit val="365"/>
      </c:valAx>
      <c:valAx>
        <c:axId val="266836224"/>
        <c:scaling>
          <c:orientation val="minMax"/>
          <c:max val="9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$ billions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66833920"/>
        <c:crosses val="autoZero"/>
        <c:crossBetween val="midCat"/>
        <c:dispUnits>
          <c:builtInUnit val="thousands"/>
        </c:dispUnits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Permanent Fund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With SB 21</c:v>
          </c:tx>
          <c:marker>
            <c:symbol val="none"/>
          </c:marker>
          <c:xVal>
            <c:numRef>
              <c:f>'HB 61 Charts Helper'!$A$4:$F$4</c:f>
              <c:numCache>
                <c:formatCode>d\-mmm\-yy</c:formatCode>
                <c:ptCount val="6"/>
                <c:pt idx="0">
                  <c:v>42916</c:v>
                </c:pt>
                <c:pt idx="1">
                  <c:v>43281</c:v>
                </c:pt>
                <c:pt idx="2">
                  <c:v>43646</c:v>
                </c:pt>
                <c:pt idx="3">
                  <c:v>44012</c:v>
                </c:pt>
                <c:pt idx="4">
                  <c:v>44377</c:v>
                </c:pt>
                <c:pt idx="5">
                  <c:v>44742</c:v>
                </c:pt>
              </c:numCache>
            </c:numRef>
          </c:xVal>
          <c:yVal>
            <c:numRef>
              <c:f>'SB 21'!$B$60:$G$60</c:f>
              <c:numCache>
                <c:formatCode>#,##0_);[Red]\(#,##0\)</c:formatCode>
                <c:ptCount val="6"/>
                <c:pt idx="0">
                  <c:v>56484.371347073997</c:v>
                </c:pt>
                <c:pt idx="1">
                  <c:v>58232.964819295841</c:v>
                </c:pt>
                <c:pt idx="2">
                  <c:v>60008.462289878291</c:v>
                </c:pt>
                <c:pt idx="3">
                  <c:v>61839.984963384741</c:v>
                </c:pt>
                <c:pt idx="4">
                  <c:v>63729.834045391275</c:v>
                </c:pt>
                <c:pt idx="5">
                  <c:v>64859.552981209643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23-4E5D-AE7C-953C98BB7622}"/>
            </c:ext>
          </c:extLst>
        </c:ser>
        <c:ser>
          <c:idx val="1"/>
          <c:order val="1"/>
          <c:tx>
            <c:v>Status Quo</c:v>
          </c:tx>
          <c:marker>
            <c:symbol val="none"/>
          </c:marker>
          <c:xVal>
            <c:numRef>
              <c:f>'HB 61 Charts Helper'!$A$4:$F$4</c:f>
              <c:numCache>
                <c:formatCode>d\-mmm\-yy</c:formatCode>
                <c:ptCount val="6"/>
                <c:pt idx="0">
                  <c:v>42916</c:v>
                </c:pt>
                <c:pt idx="1">
                  <c:v>43281</c:v>
                </c:pt>
                <c:pt idx="2">
                  <c:v>43646</c:v>
                </c:pt>
                <c:pt idx="3">
                  <c:v>44012</c:v>
                </c:pt>
                <c:pt idx="4">
                  <c:v>44377</c:v>
                </c:pt>
                <c:pt idx="5">
                  <c:v>44742</c:v>
                </c:pt>
              </c:numCache>
            </c:numRef>
          </c:xVal>
          <c:yVal>
            <c:numRef>
              <c:f>Generic!$B$51:$G$51</c:f>
              <c:numCache>
                <c:formatCode>#,##0_);[Red]\(#,##0\)</c:formatCode>
                <c:ptCount val="6"/>
                <c:pt idx="0">
                  <c:v>56484.371347073997</c:v>
                </c:pt>
                <c:pt idx="1">
                  <c:v>59057.187646130886</c:v>
                </c:pt>
                <c:pt idx="2">
                  <c:v>61786.298702676024</c:v>
                </c:pt>
                <c:pt idx="3">
                  <c:v>62469.954502832501</c:v>
                </c:pt>
                <c:pt idx="4">
                  <c:v>62869.258320105262</c:v>
                </c:pt>
                <c:pt idx="5">
                  <c:v>63122.681706917727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C23-4E5D-AE7C-953C98BB7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2371072"/>
        <c:axId val="272374016"/>
      </c:scatterChart>
      <c:valAx>
        <c:axId val="272371072"/>
        <c:scaling>
          <c:orientation val="minMax"/>
          <c:max val="44742"/>
          <c:min val="42916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&quot;30-&quot;mmm\-yy" sourceLinked="0"/>
        <c:majorTickMark val="out"/>
        <c:minorTickMark val="none"/>
        <c:tickLblPos val="nextTo"/>
        <c:crossAx val="272374016"/>
        <c:crosses val="autoZero"/>
        <c:crossBetween val="midCat"/>
        <c:majorUnit val="365"/>
      </c:valAx>
      <c:valAx>
        <c:axId val="272374016"/>
        <c:scaling>
          <c:orientation val="minMax"/>
          <c:max val="70000"/>
          <c:min val="4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$ billions</a:t>
                </a:r>
              </a:p>
            </c:rich>
          </c:tx>
          <c:overlay val="0"/>
        </c:title>
        <c:numFmt formatCode="#,##0_);[Red]\(#,##0\)" sourceLinked="1"/>
        <c:majorTickMark val="out"/>
        <c:minorTickMark val="none"/>
        <c:tickLblPos val="nextTo"/>
        <c:crossAx val="272371072"/>
        <c:crosses val="autoZero"/>
        <c:crossBetween val="midCat"/>
        <c:dispUnits>
          <c:builtInUnit val="thousands"/>
        </c:dispUnits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Permanent</a:t>
            </a:r>
            <a:r>
              <a:rPr lang="en-US" baseline="0"/>
              <a:t> Fund</a:t>
            </a:r>
            <a:r>
              <a:rPr lang="en-US"/>
              <a:t> Earnings Reserve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With SB 21</c:v>
          </c:tx>
          <c:marker>
            <c:symbol val="none"/>
          </c:marker>
          <c:xVal>
            <c:numRef>
              <c:f>'SB 21 Charts Helper'!$A$11:$A$72</c:f>
              <c:numCache>
                <c:formatCode>d\-mmm\-yy</c:formatCode>
                <c:ptCount val="62"/>
                <c:pt idx="0">
                  <c:v>42916</c:v>
                </c:pt>
                <c:pt idx="1">
                  <c:v>42931</c:v>
                </c:pt>
                <c:pt idx="2">
                  <c:v>42962</c:v>
                </c:pt>
                <c:pt idx="3">
                  <c:v>42993</c:v>
                </c:pt>
                <c:pt idx="4">
                  <c:v>43023</c:v>
                </c:pt>
                <c:pt idx="5">
                  <c:v>43054</c:v>
                </c:pt>
                <c:pt idx="6">
                  <c:v>43084</c:v>
                </c:pt>
                <c:pt idx="7">
                  <c:v>43115</c:v>
                </c:pt>
                <c:pt idx="8">
                  <c:v>43146</c:v>
                </c:pt>
                <c:pt idx="9">
                  <c:v>43174</c:v>
                </c:pt>
                <c:pt idx="10">
                  <c:v>43205</c:v>
                </c:pt>
                <c:pt idx="11">
                  <c:v>43235</c:v>
                </c:pt>
                <c:pt idx="12">
                  <c:v>43266</c:v>
                </c:pt>
                <c:pt idx="13">
                  <c:v>43296</c:v>
                </c:pt>
                <c:pt idx="14">
                  <c:v>43327</c:v>
                </c:pt>
                <c:pt idx="15">
                  <c:v>43358</c:v>
                </c:pt>
                <c:pt idx="16">
                  <c:v>43388</c:v>
                </c:pt>
                <c:pt idx="17">
                  <c:v>43419</c:v>
                </c:pt>
                <c:pt idx="18">
                  <c:v>43449</c:v>
                </c:pt>
                <c:pt idx="19">
                  <c:v>43480</c:v>
                </c:pt>
                <c:pt idx="20">
                  <c:v>43511</c:v>
                </c:pt>
                <c:pt idx="21">
                  <c:v>43539</c:v>
                </c:pt>
                <c:pt idx="22">
                  <c:v>43570</c:v>
                </c:pt>
                <c:pt idx="23">
                  <c:v>43600</c:v>
                </c:pt>
                <c:pt idx="24">
                  <c:v>43631</c:v>
                </c:pt>
                <c:pt idx="25">
                  <c:v>43661</c:v>
                </c:pt>
                <c:pt idx="26">
                  <c:v>43692</c:v>
                </c:pt>
                <c:pt idx="27">
                  <c:v>43723</c:v>
                </c:pt>
                <c:pt idx="28">
                  <c:v>43753</c:v>
                </c:pt>
                <c:pt idx="29">
                  <c:v>43784</c:v>
                </c:pt>
                <c:pt idx="30">
                  <c:v>43814</c:v>
                </c:pt>
                <c:pt idx="31">
                  <c:v>43845</c:v>
                </c:pt>
                <c:pt idx="32">
                  <c:v>43876</c:v>
                </c:pt>
                <c:pt idx="33">
                  <c:v>43905</c:v>
                </c:pt>
                <c:pt idx="34">
                  <c:v>43936</c:v>
                </c:pt>
                <c:pt idx="35">
                  <c:v>43966</c:v>
                </c:pt>
                <c:pt idx="36">
                  <c:v>43997</c:v>
                </c:pt>
                <c:pt idx="37">
                  <c:v>44027</c:v>
                </c:pt>
                <c:pt idx="38">
                  <c:v>44058</c:v>
                </c:pt>
                <c:pt idx="39">
                  <c:v>44089</c:v>
                </c:pt>
                <c:pt idx="40">
                  <c:v>44119</c:v>
                </c:pt>
                <c:pt idx="41">
                  <c:v>44150</c:v>
                </c:pt>
                <c:pt idx="42">
                  <c:v>44180</c:v>
                </c:pt>
                <c:pt idx="43">
                  <c:v>44211</c:v>
                </c:pt>
                <c:pt idx="44">
                  <c:v>44242</c:v>
                </c:pt>
                <c:pt idx="45">
                  <c:v>44270</c:v>
                </c:pt>
                <c:pt idx="46">
                  <c:v>44301</c:v>
                </c:pt>
                <c:pt idx="47">
                  <c:v>44331</c:v>
                </c:pt>
                <c:pt idx="48">
                  <c:v>44362</c:v>
                </c:pt>
                <c:pt idx="49">
                  <c:v>44392</c:v>
                </c:pt>
                <c:pt idx="50">
                  <c:v>44423</c:v>
                </c:pt>
                <c:pt idx="51">
                  <c:v>44454</c:v>
                </c:pt>
                <c:pt idx="52">
                  <c:v>44484</c:v>
                </c:pt>
                <c:pt idx="53">
                  <c:v>44515</c:v>
                </c:pt>
                <c:pt idx="54">
                  <c:v>44545</c:v>
                </c:pt>
                <c:pt idx="55">
                  <c:v>44576</c:v>
                </c:pt>
                <c:pt idx="56">
                  <c:v>44607</c:v>
                </c:pt>
                <c:pt idx="57">
                  <c:v>44635</c:v>
                </c:pt>
                <c:pt idx="58">
                  <c:v>44666</c:v>
                </c:pt>
                <c:pt idx="59">
                  <c:v>44696</c:v>
                </c:pt>
                <c:pt idx="60">
                  <c:v>44727</c:v>
                </c:pt>
                <c:pt idx="61">
                  <c:v>44742</c:v>
                </c:pt>
              </c:numCache>
            </c:numRef>
          </c:xVal>
          <c:yVal>
            <c:numRef>
              <c:f>'SB 21 Charts Helper'!$I$11:$I$72</c:f>
              <c:numCache>
                <c:formatCode>_(* #,##0_);_(* \(#,##0\);_(* "-"??_);_(@_)</c:formatCode>
                <c:ptCount val="62"/>
                <c:pt idx="0">
                  <c:v>11670.469051503305</c:v>
                </c:pt>
                <c:pt idx="1">
                  <c:v>11721.613812854102</c:v>
                </c:pt>
                <c:pt idx="2">
                  <c:v>11827.312986312418</c:v>
                </c:pt>
                <c:pt idx="3">
                  <c:v>11933.012159770733</c:v>
                </c:pt>
                <c:pt idx="4">
                  <c:v>12035.301682472327</c:v>
                </c:pt>
                <c:pt idx="5">
                  <c:v>12141.000855930643</c:v>
                </c:pt>
                <c:pt idx="6">
                  <c:v>12243.290378632237</c:v>
                </c:pt>
                <c:pt idx="7">
                  <c:v>12348.989552090552</c:v>
                </c:pt>
                <c:pt idx="8">
                  <c:v>12454.688725548865</c:v>
                </c:pt>
                <c:pt idx="9">
                  <c:v>12550.158946737021</c:v>
                </c:pt>
                <c:pt idx="10">
                  <c:v>12655.858120195337</c:v>
                </c:pt>
                <c:pt idx="11">
                  <c:v>12758.147642896931</c:v>
                </c:pt>
                <c:pt idx="12">
                  <c:v>12863.846816355246</c:v>
                </c:pt>
                <c:pt idx="13">
                  <c:v>12965.84928749304</c:v>
                </c:pt>
                <c:pt idx="14">
                  <c:v>13070.955221052831</c:v>
                </c:pt>
                <c:pt idx="15">
                  <c:v>13176.061154612622</c:v>
                </c:pt>
                <c:pt idx="16">
                  <c:v>13277.776574186615</c:v>
                </c:pt>
                <c:pt idx="17">
                  <c:v>13382.882507746406</c:v>
                </c:pt>
                <c:pt idx="18">
                  <c:v>13484.597927320398</c:v>
                </c:pt>
                <c:pt idx="19">
                  <c:v>13589.70386088019</c:v>
                </c:pt>
                <c:pt idx="20">
                  <c:v>13694.809794439981</c:v>
                </c:pt>
                <c:pt idx="21">
                  <c:v>13789.744186042373</c:v>
                </c:pt>
                <c:pt idx="22">
                  <c:v>13894.850119602166</c:v>
                </c:pt>
                <c:pt idx="23">
                  <c:v>13996.565539176157</c:v>
                </c:pt>
                <c:pt idx="24">
                  <c:v>14101.671472735949</c:v>
                </c:pt>
                <c:pt idx="25">
                  <c:v>14204.903821432226</c:v>
                </c:pt>
                <c:pt idx="26">
                  <c:v>14313.144741844741</c:v>
                </c:pt>
                <c:pt idx="27">
                  <c:v>14421.385662257255</c:v>
                </c:pt>
                <c:pt idx="28">
                  <c:v>14526.134940075817</c:v>
                </c:pt>
                <c:pt idx="29">
                  <c:v>14634.375860488331</c:v>
                </c:pt>
                <c:pt idx="30">
                  <c:v>14739.125138306894</c:v>
                </c:pt>
                <c:pt idx="31">
                  <c:v>14847.366058719408</c:v>
                </c:pt>
                <c:pt idx="32">
                  <c:v>14955.606979131924</c:v>
                </c:pt>
                <c:pt idx="33">
                  <c:v>15056.864614356533</c:v>
                </c:pt>
                <c:pt idx="34">
                  <c:v>15165.105534769047</c:v>
                </c:pt>
                <c:pt idx="35">
                  <c:v>15269.85481258761</c:v>
                </c:pt>
                <c:pt idx="36">
                  <c:v>15378.095733000126</c:v>
                </c:pt>
                <c:pt idx="37">
                  <c:v>15484.737233773933</c:v>
                </c:pt>
                <c:pt idx="38">
                  <c:v>15596.888748293954</c:v>
                </c:pt>
                <c:pt idx="39">
                  <c:v>15709.040262813975</c:v>
                </c:pt>
                <c:pt idx="40">
                  <c:v>15817.573986543026</c:v>
                </c:pt>
                <c:pt idx="41">
                  <c:v>15929.725501063047</c:v>
                </c:pt>
                <c:pt idx="42">
                  <c:v>16038.259224792098</c:v>
                </c:pt>
                <c:pt idx="43">
                  <c:v>16150.410739312119</c:v>
                </c:pt>
                <c:pt idx="44">
                  <c:v>16262.562253832139</c:v>
                </c:pt>
                <c:pt idx="45">
                  <c:v>16363.860395979254</c:v>
                </c:pt>
                <c:pt idx="46">
                  <c:v>16476.011910499274</c:v>
                </c:pt>
                <c:pt idx="47">
                  <c:v>16584.545634228325</c:v>
                </c:pt>
                <c:pt idx="48">
                  <c:v>16696.697148748346</c:v>
                </c:pt>
                <c:pt idx="49">
                  <c:v>16770.160660342714</c:v>
                </c:pt>
                <c:pt idx="50">
                  <c:v>16809.833736451048</c:v>
                </c:pt>
                <c:pt idx="51">
                  <c:v>16849.506812559383</c:v>
                </c:pt>
                <c:pt idx="52">
                  <c:v>16887.900112019066</c:v>
                </c:pt>
                <c:pt idx="53">
                  <c:v>16927.5731881274</c:v>
                </c:pt>
                <c:pt idx="54">
                  <c:v>16965.96648758708</c:v>
                </c:pt>
                <c:pt idx="55">
                  <c:v>17005.639563695418</c:v>
                </c:pt>
                <c:pt idx="56">
                  <c:v>17045.312639803753</c:v>
                </c:pt>
                <c:pt idx="57">
                  <c:v>17081.14638596612</c:v>
                </c:pt>
                <c:pt idx="58">
                  <c:v>17120.819462074458</c:v>
                </c:pt>
                <c:pt idx="59">
                  <c:v>17159.212761534138</c:v>
                </c:pt>
                <c:pt idx="60">
                  <c:v>17198.885837642472</c:v>
                </c:pt>
                <c:pt idx="61">
                  <c:v>17218.082487372314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7B-4E41-BAC1-24ADEB915A4E}"/>
            </c:ext>
          </c:extLst>
        </c:ser>
        <c:ser>
          <c:idx val="1"/>
          <c:order val="1"/>
          <c:tx>
            <c:v>Status Quo</c:v>
          </c:tx>
          <c:marker>
            <c:symbol val="none"/>
          </c:marker>
          <c:xVal>
            <c:numRef>
              <c:f>'HB 61 Charts Helper'!$A$14:$A$75</c:f>
              <c:numCache>
                <c:formatCode>d\-mmm\-yy</c:formatCode>
                <c:ptCount val="62"/>
                <c:pt idx="0">
                  <c:v>42916</c:v>
                </c:pt>
                <c:pt idx="1">
                  <c:v>42931</c:v>
                </c:pt>
                <c:pt idx="2">
                  <c:v>42962</c:v>
                </c:pt>
                <c:pt idx="3">
                  <c:v>42993</c:v>
                </c:pt>
                <c:pt idx="4">
                  <c:v>43023</c:v>
                </c:pt>
                <c:pt idx="5">
                  <c:v>43054</c:v>
                </c:pt>
                <c:pt idx="6">
                  <c:v>43084</c:v>
                </c:pt>
                <c:pt idx="7">
                  <c:v>43115</c:v>
                </c:pt>
                <c:pt idx="8">
                  <c:v>43146</c:v>
                </c:pt>
                <c:pt idx="9">
                  <c:v>43174</c:v>
                </c:pt>
                <c:pt idx="10">
                  <c:v>43205</c:v>
                </c:pt>
                <c:pt idx="11">
                  <c:v>43235</c:v>
                </c:pt>
                <c:pt idx="12">
                  <c:v>43266</c:v>
                </c:pt>
                <c:pt idx="13">
                  <c:v>43296</c:v>
                </c:pt>
                <c:pt idx="14">
                  <c:v>43327</c:v>
                </c:pt>
                <c:pt idx="15">
                  <c:v>43358</c:v>
                </c:pt>
                <c:pt idx="16">
                  <c:v>43388</c:v>
                </c:pt>
                <c:pt idx="17">
                  <c:v>43419</c:v>
                </c:pt>
                <c:pt idx="18">
                  <c:v>43449</c:v>
                </c:pt>
                <c:pt idx="19">
                  <c:v>43480</c:v>
                </c:pt>
                <c:pt idx="20">
                  <c:v>43511</c:v>
                </c:pt>
                <c:pt idx="21">
                  <c:v>43539</c:v>
                </c:pt>
                <c:pt idx="22">
                  <c:v>43570</c:v>
                </c:pt>
                <c:pt idx="23">
                  <c:v>43600</c:v>
                </c:pt>
                <c:pt idx="24">
                  <c:v>43631</c:v>
                </c:pt>
                <c:pt idx="25">
                  <c:v>43661</c:v>
                </c:pt>
                <c:pt idx="26">
                  <c:v>43692</c:v>
                </c:pt>
                <c:pt idx="27">
                  <c:v>43723</c:v>
                </c:pt>
                <c:pt idx="28">
                  <c:v>43753</c:v>
                </c:pt>
                <c:pt idx="29">
                  <c:v>43784</c:v>
                </c:pt>
                <c:pt idx="30">
                  <c:v>43814</c:v>
                </c:pt>
                <c:pt idx="31">
                  <c:v>43845</c:v>
                </c:pt>
                <c:pt idx="32">
                  <c:v>43876</c:v>
                </c:pt>
                <c:pt idx="33">
                  <c:v>43905</c:v>
                </c:pt>
                <c:pt idx="34">
                  <c:v>43936</c:v>
                </c:pt>
                <c:pt idx="35">
                  <c:v>43966</c:v>
                </c:pt>
                <c:pt idx="36">
                  <c:v>43997</c:v>
                </c:pt>
                <c:pt idx="37">
                  <c:v>44027</c:v>
                </c:pt>
                <c:pt idx="38">
                  <c:v>44058</c:v>
                </c:pt>
                <c:pt idx="39">
                  <c:v>44089</c:v>
                </c:pt>
                <c:pt idx="40">
                  <c:v>44119</c:v>
                </c:pt>
                <c:pt idx="41">
                  <c:v>44150</c:v>
                </c:pt>
                <c:pt idx="42">
                  <c:v>44180</c:v>
                </c:pt>
                <c:pt idx="43">
                  <c:v>44211</c:v>
                </c:pt>
                <c:pt idx="44">
                  <c:v>44242</c:v>
                </c:pt>
                <c:pt idx="45">
                  <c:v>44270</c:v>
                </c:pt>
                <c:pt idx="46">
                  <c:v>44301</c:v>
                </c:pt>
                <c:pt idx="47">
                  <c:v>44331</c:v>
                </c:pt>
                <c:pt idx="48">
                  <c:v>44362</c:v>
                </c:pt>
                <c:pt idx="49">
                  <c:v>44392</c:v>
                </c:pt>
                <c:pt idx="50">
                  <c:v>44423</c:v>
                </c:pt>
                <c:pt idx="51">
                  <c:v>44454</c:v>
                </c:pt>
                <c:pt idx="52">
                  <c:v>44484</c:v>
                </c:pt>
                <c:pt idx="53">
                  <c:v>44515</c:v>
                </c:pt>
                <c:pt idx="54">
                  <c:v>44545</c:v>
                </c:pt>
                <c:pt idx="55">
                  <c:v>44576</c:v>
                </c:pt>
                <c:pt idx="56">
                  <c:v>44607</c:v>
                </c:pt>
                <c:pt idx="57">
                  <c:v>44635</c:v>
                </c:pt>
                <c:pt idx="58">
                  <c:v>44666</c:v>
                </c:pt>
                <c:pt idx="59">
                  <c:v>44696</c:v>
                </c:pt>
                <c:pt idx="60">
                  <c:v>44727</c:v>
                </c:pt>
                <c:pt idx="61">
                  <c:v>44742</c:v>
                </c:pt>
              </c:numCache>
            </c:numRef>
          </c:xVal>
          <c:yVal>
            <c:numRef>
              <c:f>'HB 61 Charts Helper'!$O$14:$O$75</c:f>
              <c:numCache>
                <c:formatCode>_(* #,##0_);_(* \(#,##0\);_(* "-"??_);_(@_)</c:formatCode>
                <c:ptCount val="62"/>
                <c:pt idx="0">
                  <c:v>11670.469051503305</c:v>
                </c:pt>
                <c:pt idx="1">
                  <c:v>11717.121374616017</c:v>
                </c:pt>
                <c:pt idx="2">
                  <c:v>11813.536175715624</c:v>
                </c:pt>
                <c:pt idx="3">
                  <c:v>11909.950976815231</c:v>
                </c:pt>
                <c:pt idx="4">
                  <c:v>12003.255623040657</c:v>
                </c:pt>
                <c:pt idx="5">
                  <c:v>12099.670424140264</c:v>
                </c:pt>
                <c:pt idx="6">
                  <c:v>12192.97507036569</c:v>
                </c:pt>
                <c:pt idx="7">
                  <c:v>12289.389871465297</c:v>
                </c:pt>
                <c:pt idx="8">
                  <c:v>12385.804672564904</c:v>
                </c:pt>
                <c:pt idx="9">
                  <c:v>12472.889009041968</c:v>
                </c:pt>
                <c:pt idx="10">
                  <c:v>12569.303810141573</c:v>
                </c:pt>
                <c:pt idx="11">
                  <c:v>12662.608456366999</c:v>
                </c:pt>
                <c:pt idx="12">
                  <c:v>12759.023257466606</c:v>
                </c:pt>
                <c:pt idx="13">
                  <c:v>12856.238567607981</c:v>
                </c:pt>
                <c:pt idx="14">
                  <c:v>12960.735407467213</c:v>
                </c:pt>
                <c:pt idx="15">
                  <c:v>13065.232247326447</c:v>
                </c:pt>
                <c:pt idx="16">
                  <c:v>13166.358221383769</c:v>
                </c:pt>
                <c:pt idx="17">
                  <c:v>13270.855061243001</c:v>
                </c:pt>
                <c:pt idx="18">
                  <c:v>13371.981035300323</c:v>
                </c:pt>
                <c:pt idx="19">
                  <c:v>13476.477875159555</c:v>
                </c:pt>
                <c:pt idx="20">
                  <c:v>13580.974715018789</c:v>
                </c:pt>
                <c:pt idx="21">
                  <c:v>13675.358957472288</c:v>
                </c:pt>
                <c:pt idx="22">
                  <c:v>13779.855797331522</c:v>
                </c:pt>
                <c:pt idx="23">
                  <c:v>13880.981771388844</c:v>
                </c:pt>
                <c:pt idx="24">
                  <c:v>13985.478611248076</c:v>
                </c:pt>
                <c:pt idx="25">
                  <c:v>13991.153843611557</c:v>
                </c:pt>
                <c:pt idx="26">
                  <c:v>13898.385817303517</c:v>
                </c:pt>
                <c:pt idx="27">
                  <c:v>13805.617790995479</c:v>
                </c:pt>
                <c:pt idx="28">
                  <c:v>13715.842281665116</c:v>
                </c:pt>
                <c:pt idx="29">
                  <c:v>13623.074255357078</c:v>
                </c:pt>
                <c:pt idx="30">
                  <c:v>13533.298746026716</c:v>
                </c:pt>
                <c:pt idx="31">
                  <c:v>13440.530719718678</c:v>
                </c:pt>
                <c:pt idx="32">
                  <c:v>13347.762693410637</c:v>
                </c:pt>
                <c:pt idx="33">
                  <c:v>13260.979701057955</c:v>
                </c:pt>
                <c:pt idx="34">
                  <c:v>13168.211674749915</c:v>
                </c:pt>
                <c:pt idx="35">
                  <c:v>13078.436165419555</c:v>
                </c:pt>
                <c:pt idx="36">
                  <c:v>12985.668139111516</c:v>
                </c:pt>
                <c:pt idx="37">
                  <c:v>12879.750886627115</c:v>
                </c:pt>
                <c:pt idx="38">
                  <c:v>12753.623257800728</c:v>
                </c:pt>
                <c:pt idx="39">
                  <c:v>12627.495628974342</c:v>
                </c:pt>
                <c:pt idx="40">
                  <c:v>12505.436633335903</c:v>
                </c:pt>
                <c:pt idx="41">
                  <c:v>12379.309004509516</c:v>
                </c:pt>
                <c:pt idx="42">
                  <c:v>12257.250008871079</c:v>
                </c:pt>
                <c:pt idx="43">
                  <c:v>12131.122380044691</c:v>
                </c:pt>
                <c:pt idx="44">
                  <c:v>12004.994751218306</c:v>
                </c:pt>
                <c:pt idx="45">
                  <c:v>11891.073021955763</c:v>
                </c:pt>
                <c:pt idx="46">
                  <c:v>11764.945393129376</c:v>
                </c:pt>
                <c:pt idx="47">
                  <c:v>11642.886397490938</c:v>
                </c:pt>
                <c:pt idx="48">
                  <c:v>11516.758768664551</c:v>
                </c:pt>
                <c:pt idx="49">
                  <c:v>11385.235193736542</c:v>
                </c:pt>
                <c:pt idx="50">
                  <c:v>11239.547434378379</c:v>
                </c:pt>
                <c:pt idx="51">
                  <c:v>11093.859675020214</c:v>
                </c:pt>
                <c:pt idx="52">
                  <c:v>10952.871520802637</c:v>
                </c:pt>
                <c:pt idx="53">
                  <c:v>10807.183761444472</c:v>
                </c:pt>
                <c:pt idx="54">
                  <c:v>10666.195607226895</c:v>
                </c:pt>
                <c:pt idx="55">
                  <c:v>10520.50784786873</c:v>
                </c:pt>
                <c:pt idx="56">
                  <c:v>10374.820088510565</c:v>
                </c:pt>
                <c:pt idx="57">
                  <c:v>10243.23114457416</c:v>
                </c:pt>
                <c:pt idx="58">
                  <c:v>10097.543385215995</c:v>
                </c:pt>
                <c:pt idx="59">
                  <c:v>9956.5552309984178</c:v>
                </c:pt>
                <c:pt idx="60">
                  <c:v>9810.8674716402529</c:v>
                </c:pt>
                <c:pt idx="61">
                  <c:v>9740.3733945314652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A7B-4E41-BAC1-24ADEB915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2562816"/>
        <c:axId val="272573184"/>
      </c:scatterChart>
      <c:valAx>
        <c:axId val="272562816"/>
        <c:scaling>
          <c:orientation val="minMax"/>
          <c:max val="44742"/>
          <c:min val="42916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&quot;30-&quot;mmm\-yy" sourceLinked="0"/>
        <c:majorTickMark val="out"/>
        <c:minorTickMark val="none"/>
        <c:tickLblPos val="nextTo"/>
        <c:crossAx val="272573184"/>
        <c:crosses val="autoZero"/>
        <c:crossBetween val="midCat"/>
        <c:majorUnit val="365"/>
      </c:valAx>
      <c:valAx>
        <c:axId val="272573184"/>
        <c:scaling>
          <c:orientation val="minMax"/>
          <c:max val="2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$ billions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272562816"/>
        <c:crosses val="autoZero"/>
        <c:crossBetween val="midCat"/>
        <c:dispUnits>
          <c:builtInUnit val="thousands"/>
        </c:dispUnits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Earnings</a:t>
            </a:r>
            <a:r>
              <a:rPr lang="en-US" sz="1200" b="1" baseline="0"/>
              <a:t> Reserve Balance (year-end)</a:t>
            </a:r>
            <a:endParaRPr lang="en-US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1"/>
          <c:tx>
            <c:v>ER Limit Transfer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'POMV vs Distrib Income'!$U$48:$U$58</c:f>
              <c:numCache>
                <c:formatCode>_(* #,##0_);_(* \(#,##0\);_(* "-"??_);_(@_)</c:formatCode>
                <c:ptCount val="11"/>
                <c:pt idx="0">
                  <c:v>0</c:v>
                </c:pt>
                <c:pt idx="1">
                  <c:v>5664.745671276657</c:v>
                </c:pt>
                <c:pt idx="2">
                  <c:v>5553.343125087863</c:v>
                </c:pt>
                <c:pt idx="3">
                  <c:v>2657.3923959720792</c:v>
                </c:pt>
                <c:pt idx="4">
                  <c:v>3479.15958083232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F3-4A87-ACBD-7470B9221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438260864"/>
        <c:axId val="438262400"/>
      </c:barChart>
      <c:lineChart>
        <c:grouping val="standard"/>
        <c:varyColors val="0"/>
        <c:ser>
          <c:idx val="1"/>
          <c:order val="0"/>
          <c:tx>
            <c:v>ER Balance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'POMV vs Distrib Income'!$A$48:$A$58</c:f>
              <c:numCache>
                <c:formatCode>General</c:formatCode>
                <c:ptCount val="1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</c:numCache>
            </c:numRef>
          </c:cat>
          <c:val>
            <c:numRef>
              <c:f>'POMV vs Distrib Income'!$N$48:$N$58</c:f>
              <c:numCache>
                <c:formatCode>_(* #,##0_);_(* \(#,##0\);_(* "-"??_);_(@_)</c:formatCode>
                <c:ptCount val="11"/>
                <c:pt idx="0">
                  <c:v>11419</c:v>
                </c:pt>
                <c:pt idx="1">
                  <c:v>10102.679999999998</c:v>
                </c:pt>
                <c:pt idx="2">
                  <c:v>10779.678</c:v>
                </c:pt>
                <c:pt idx="3">
                  <c:v>11571.929304599998</c:v>
                </c:pt>
                <c:pt idx="4">
                  <c:v>12428.5924455021</c:v>
                </c:pt>
                <c:pt idx="5">
                  <c:v>12027.920723199933</c:v>
                </c:pt>
                <c:pt idx="6">
                  <c:v>8673.2323972743252</c:v>
                </c:pt>
                <c:pt idx="7">
                  <c:v>5906.7973883925224</c:v>
                </c:pt>
                <c:pt idx="8">
                  <c:v>6470.9785188585302</c:v>
                </c:pt>
                <c:pt idx="9">
                  <c:v>7558.1143464867328</c:v>
                </c:pt>
                <c:pt idx="10">
                  <c:v>11050.023119920097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4A-49AE-B413-B7C4C2C88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260864"/>
        <c:axId val="438262400"/>
      </c:lineChart>
      <c:catAx>
        <c:axId val="43826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262400"/>
        <c:crosses val="autoZero"/>
        <c:auto val="1"/>
        <c:lblAlgn val="ctr"/>
        <c:lblOffset val="100"/>
        <c:noMultiLvlLbl val="0"/>
      </c:catAx>
      <c:valAx>
        <c:axId val="438262400"/>
        <c:scaling>
          <c:orientation val="minMax"/>
          <c:max val="2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/>
                  <a:t>$ millions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26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Dividend Check Forecast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With SB 21</c:v>
          </c:tx>
          <c:spPr>
            <a:ln>
              <a:solidFill>
                <a:srgbClr val="0070C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'HB61'!$C$106:$G$106</c:f>
              <c:numCache>
                <c:formatCode>[$-409]mmm\-yyyy;@</c:formatCode>
                <c:ptCount val="5"/>
                <c:pt idx="0">
                  <c:v>43009</c:v>
                </c:pt>
                <c:pt idx="1">
                  <c:v>43374</c:v>
                </c:pt>
                <c:pt idx="2">
                  <c:v>43739</c:v>
                </c:pt>
                <c:pt idx="3">
                  <c:v>44105</c:v>
                </c:pt>
                <c:pt idx="4">
                  <c:v>44470</c:v>
                </c:pt>
              </c:numCache>
            </c:numRef>
          </c:cat>
          <c:val>
            <c:numRef>
              <c:f>'SB 21'!$C$67:$G$67</c:f>
              <c:numCache>
                <c:formatCode>#,##0_);[Red]\(#,##0\)</c:formatCode>
                <c:ptCount val="5"/>
                <c:pt idx="0">
                  <c:v>1724.387577486063</c:v>
                </c:pt>
                <c:pt idx="1">
                  <c:v>1799.8101306857718</c:v>
                </c:pt>
                <c:pt idx="2">
                  <c:v>1843.052501502458</c:v>
                </c:pt>
                <c:pt idx="3">
                  <c:v>1887.0346850170724</c:v>
                </c:pt>
                <c:pt idx="4">
                  <c:v>1938.1759149138968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36-47EB-81E4-B29A7C3EAA26}"/>
            </c:ext>
          </c:extLst>
        </c:ser>
        <c:ser>
          <c:idx val="1"/>
          <c:order val="1"/>
          <c:tx>
            <c:v>Status Quo</c:v>
          </c:tx>
          <c:spPr>
            <a:ln>
              <a:solidFill>
                <a:srgbClr val="C00000"/>
              </a:solidFill>
            </a:ln>
          </c:spPr>
          <c:invertIfNegative val="0"/>
          <c:dPt>
            <c:idx val="3"/>
            <c:invertIfNegative val="0"/>
            <c:bubble3D val="0"/>
            <c:spPr>
              <a:noFill/>
              <a:ln w="254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DB36-47EB-81E4-B29A7C3EAA26}"/>
              </c:ext>
            </c:extLst>
          </c:dPt>
          <c:dPt>
            <c:idx val="4"/>
            <c:invertIfNegative val="0"/>
            <c:bubble3D val="0"/>
            <c:spPr>
              <a:noFill/>
              <a:ln w="254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DB36-47EB-81E4-B29A7C3EAA26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'HB61'!$C$106:$G$106</c:f>
              <c:numCache>
                <c:formatCode>[$-409]mmm\-yyyy;@</c:formatCode>
                <c:ptCount val="5"/>
                <c:pt idx="0">
                  <c:v>43009</c:v>
                </c:pt>
                <c:pt idx="1">
                  <c:v>43374</c:v>
                </c:pt>
                <c:pt idx="2">
                  <c:v>43739</c:v>
                </c:pt>
                <c:pt idx="3">
                  <c:v>44105</c:v>
                </c:pt>
                <c:pt idx="4">
                  <c:v>44470</c:v>
                </c:pt>
              </c:numCache>
            </c:numRef>
          </c:cat>
          <c:val>
            <c:numRef>
              <c:f>'HB61'!$C$108:$G$108</c:f>
              <c:numCache>
                <c:formatCode>#,##0_);[Red]\(#,##0\)</c:formatCode>
                <c:ptCount val="5"/>
                <c:pt idx="0">
                  <c:v>2240.4135886896033</c:v>
                </c:pt>
                <c:pt idx="1">
                  <c:v>2293.4589332172404</c:v>
                </c:pt>
                <c:pt idx="2">
                  <c:v>2275.760482349207</c:v>
                </c:pt>
                <c:pt idx="3">
                  <c:v>2380.838917196153</c:v>
                </c:pt>
                <c:pt idx="4">
                  <c:v>2599.0175137051265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B36-47EB-81E4-B29A7C3EA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747904"/>
        <c:axId val="302461696"/>
      </c:barChart>
      <c:catAx>
        <c:axId val="272747904"/>
        <c:scaling>
          <c:orientation val="minMax"/>
        </c:scaling>
        <c:delete val="0"/>
        <c:axPos val="b"/>
        <c:numFmt formatCode="[$-409]mmm\-yyyy;@" sourceLinked="1"/>
        <c:majorTickMark val="out"/>
        <c:minorTickMark val="none"/>
        <c:tickLblPos val="nextTo"/>
        <c:crossAx val="302461696"/>
        <c:crosses val="autoZero"/>
        <c:auto val="0"/>
        <c:lblAlgn val="ctr"/>
        <c:lblOffset val="100"/>
        <c:noMultiLvlLbl val="0"/>
      </c:catAx>
      <c:valAx>
        <c:axId val="30246169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$ per Recipient</a:t>
                </a:r>
              </a:p>
            </c:rich>
          </c:tx>
          <c:overlay val="0"/>
        </c:title>
        <c:numFmt formatCode="&quot;$&quot;#,##0_);\(&quot;$&quot;#,##0\)" sourceLinked="0"/>
        <c:majorTickMark val="out"/>
        <c:minorTickMark val="none"/>
        <c:tickLblPos val="nextTo"/>
        <c:crossAx val="27274790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Constitutional Budget Reserve + Misc Funds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 With SB 84</c:v>
          </c:tx>
          <c:marker>
            <c:symbol val="none"/>
          </c:marker>
          <c:xVal>
            <c:numRef>
              <c:f>'SB 84 Charts Helper'!$A$11:$A$72</c:f>
              <c:numCache>
                <c:formatCode>d\-mmm\-yy</c:formatCode>
                <c:ptCount val="62"/>
                <c:pt idx="0">
                  <c:v>42916</c:v>
                </c:pt>
                <c:pt idx="1">
                  <c:v>42931</c:v>
                </c:pt>
                <c:pt idx="2">
                  <c:v>42962</c:v>
                </c:pt>
                <c:pt idx="3">
                  <c:v>42993</c:v>
                </c:pt>
                <c:pt idx="4">
                  <c:v>43023</c:v>
                </c:pt>
                <c:pt idx="5">
                  <c:v>43054</c:v>
                </c:pt>
                <c:pt idx="6">
                  <c:v>43084</c:v>
                </c:pt>
                <c:pt idx="7">
                  <c:v>43115</c:v>
                </c:pt>
                <c:pt idx="8">
                  <c:v>43146</c:v>
                </c:pt>
                <c:pt idx="9">
                  <c:v>43174</c:v>
                </c:pt>
                <c:pt idx="10">
                  <c:v>43205</c:v>
                </c:pt>
                <c:pt idx="11">
                  <c:v>43235</c:v>
                </c:pt>
                <c:pt idx="12">
                  <c:v>43266</c:v>
                </c:pt>
                <c:pt idx="13">
                  <c:v>43296</c:v>
                </c:pt>
                <c:pt idx="14">
                  <c:v>43327</c:v>
                </c:pt>
                <c:pt idx="15">
                  <c:v>43358</c:v>
                </c:pt>
                <c:pt idx="16">
                  <c:v>43388</c:v>
                </c:pt>
                <c:pt idx="17">
                  <c:v>43419</c:v>
                </c:pt>
                <c:pt idx="18">
                  <c:v>43449</c:v>
                </c:pt>
                <c:pt idx="19">
                  <c:v>43480</c:v>
                </c:pt>
                <c:pt idx="20">
                  <c:v>43511</c:v>
                </c:pt>
                <c:pt idx="21">
                  <c:v>43539</c:v>
                </c:pt>
                <c:pt idx="22">
                  <c:v>43570</c:v>
                </c:pt>
                <c:pt idx="23">
                  <c:v>43600</c:v>
                </c:pt>
                <c:pt idx="24">
                  <c:v>43631</c:v>
                </c:pt>
                <c:pt idx="25">
                  <c:v>43661</c:v>
                </c:pt>
                <c:pt idx="26">
                  <c:v>43692</c:v>
                </c:pt>
                <c:pt idx="27">
                  <c:v>43723</c:v>
                </c:pt>
                <c:pt idx="28">
                  <c:v>43753</c:v>
                </c:pt>
                <c:pt idx="29">
                  <c:v>43784</c:v>
                </c:pt>
                <c:pt idx="30">
                  <c:v>43814</c:v>
                </c:pt>
                <c:pt idx="31">
                  <c:v>43845</c:v>
                </c:pt>
                <c:pt idx="32">
                  <c:v>43876</c:v>
                </c:pt>
                <c:pt idx="33">
                  <c:v>43905</c:v>
                </c:pt>
                <c:pt idx="34">
                  <c:v>43936</c:v>
                </c:pt>
                <c:pt idx="35">
                  <c:v>43966</c:v>
                </c:pt>
                <c:pt idx="36">
                  <c:v>43997</c:v>
                </c:pt>
                <c:pt idx="37">
                  <c:v>44027</c:v>
                </c:pt>
                <c:pt idx="38">
                  <c:v>44058</c:v>
                </c:pt>
                <c:pt idx="39">
                  <c:v>44089</c:v>
                </c:pt>
                <c:pt idx="40">
                  <c:v>44119</c:v>
                </c:pt>
                <c:pt idx="41">
                  <c:v>44150</c:v>
                </c:pt>
                <c:pt idx="42">
                  <c:v>44180</c:v>
                </c:pt>
                <c:pt idx="43">
                  <c:v>44211</c:v>
                </c:pt>
                <c:pt idx="44">
                  <c:v>44242</c:v>
                </c:pt>
                <c:pt idx="45">
                  <c:v>44270</c:v>
                </c:pt>
                <c:pt idx="46">
                  <c:v>44301</c:v>
                </c:pt>
                <c:pt idx="47">
                  <c:v>44331</c:v>
                </c:pt>
                <c:pt idx="48">
                  <c:v>44362</c:v>
                </c:pt>
                <c:pt idx="49">
                  <c:v>44392</c:v>
                </c:pt>
                <c:pt idx="50">
                  <c:v>44423</c:v>
                </c:pt>
                <c:pt idx="51">
                  <c:v>44454</c:v>
                </c:pt>
                <c:pt idx="52">
                  <c:v>44484</c:v>
                </c:pt>
                <c:pt idx="53">
                  <c:v>44515</c:v>
                </c:pt>
                <c:pt idx="54">
                  <c:v>44545</c:v>
                </c:pt>
                <c:pt idx="55">
                  <c:v>44576</c:v>
                </c:pt>
                <c:pt idx="56">
                  <c:v>44607</c:v>
                </c:pt>
                <c:pt idx="57">
                  <c:v>44635</c:v>
                </c:pt>
                <c:pt idx="58">
                  <c:v>44666</c:v>
                </c:pt>
                <c:pt idx="59">
                  <c:v>44696</c:v>
                </c:pt>
                <c:pt idx="60">
                  <c:v>44727</c:v>
                </c:pt>
                <c:pt idx="61">
                  <c:v>44742</c:v>
                </c:pt>
              </c:numCache>
            </c:numRef>
          </c:xVal>
          <c:yVal>
            <c:numRef>
              <c:f>'SB 84 Charts Helper'!$F$11:$F$72</c:f>
              <c:numCache>
                <c:formatCode>_(* #,##0_);_(* \(#,##0\);_(* "-"??_);_(@_)</c:formatCode>
                <c:ptCount val="62"/>
                <c:pt idx="0">
                  <c:v>6171.7926000000007</c:v>
                </c:pt>
                <c:pt idx="1">
                  <c:v>6097.3617587297531</c:v>
                </c:pt>
                <c:pt idx="2">
                  <c:v>5943.5380201045737</c:v>
                </c:pt>
                <c:pt idx="3">
                  <c:v>5789.7142814793942</c:v>
                </c:pt>
                <c:pt idx="4">
                  <c:v>5640.8525989388982</c:v>
                </c:pt>
                <c:pt idx="5">
                  <c:v>5487.0288603137196</c:v>
                </c:pt>
                <c:pt idx="6">
                  <c:v>5338.1671777732236</c:v>
                </c:pt>
                <c:pt idx="7">
                  <c:v>5184.3434391480441</c:v>
                </c:pt>
                <c:pt idx="8">
                  <c:v>5030.5197005228656</c:v>
                </c:pt>
                <c:pt idx="9">
                  <c:v>4891.5821301517353</c:v>
                </c:pt>
                <c:pt idx="10">
                  <c:v>4737.7583915265568</c:v>
                </c:pt>
                <c:pt idx="11">
                  <c:v>4588.8967089860607</c:v>
                </c:pt>
                <c:pt idx="12">
                  <c:v>4435.0729703608813</c:v>
                </c:pt>
                <c:pt idx="13">
                  <c:v>4324.7676941246364</c:v>
                </c:pt>
                <c:pt idx="14">
                  <c:v>4250.6271951949093</c:v>
                </c:pt>
                <c:pt idx="15">
                  <c:v>4176.4866962651822</c:v>
                </c:pt>
                <c:pt idx="16">
                  <c:v>4104.7378263331875</c:v>
                </c:pt>
                <c:pt idx="17">
                  <c:v>4030.5973274034604</c:v>
                </c:pt>
                <c:pt idx="18">
                  <c:v>3958.8484574714662</c:v>
                </c:pt>
                <c:pt idx="19">
                  <c:v>3884.7079585417387</c:v>
                </c:pt>
                <c:pt idx="20">
                  <c:v>3810.5674596120116</c:v>
                </c:pt>
                <c:pt idx="21">
                  <c:v>3743.6018476754834</c:v>
                </c:pt>
                <c:pt idx="22">
                  <c:v>3669.4613487457564</c:v>
                </c:pt>
                <c:pt idx="23">
                  <c:v>3597.7124788137621</c:v>
                </c:pt>
                <c:pt idx="24">
                  <c:v>3523.5719798840346</c:v>
                </c:pt>
                <c:pt idx="25">
                  <c:v>3453.2166262998639</c:v>
                </c:pt>
                <c:pt idx="26">
                  <c:v>3381.9560611556394</c:v>
                </c:pt>
                <c:pt idx="27">
                  <c:v>3310.6954960114149</c:v>
                </c:pt>
                <c:pt idx="28">
                  <c:v>3241.7336587750683</c:v>
                </c:pt>
                <c:pt idx="29">
                  <c:v>3170.4730936308438</c:v>
                </c:pt>
                <c:pt idx="30">
                  <c:v>3101.5112563944972</c:v>
                </c:pt>
                <c:pt idx="31">
                  <c:v>3030.2506912502727</c:v>
                </c:pt>
                <c:pt idx="32">
                  <c:v>2958.9901261060477</c:v>
                </c:pt>
                <c:pt idx="33">
                  <c:v>2892.3270167775795</c:v>
                </c:pt>
                <c:pt idx="34">
                  <c:v>2821.066451633355</c:v>
                </c:pt>
                <c:pt idx="35">
                  <c:v>2752.1046143970088</c:v>
                </c:pt>
                <c:pt idx="36">
                  <c:v>2680.8440492527839</c:v>
                </c:pt>
                <c:pt idx="37">
                  <c:v>2611.563569044486</c:v>
                </c:pt>
                <c:pt idx="38">
                  <c:v>2539.6444750915621</c:v>
                </c:pt>
                <c:pt idx="39">
                  <c:v>2467.7253811386381</c:v>
                </c:pt>
                <c:pt idx="40">
                  <c:v>2398.126257958389</c:v>
                </c:pt>
                <c:pt idx="41">
                  <c:v>2326.2071640054651</c:v>
                </c:pt>
                <c:pt idx="42">
                  <c:v>2256.6080408252164</c:v>
                </c:pt>
                <c:pt idx="43">
                  <c:v>2184.688946872292</c:v>
                </c:pt>
                <c:pt idx="44">
                  <c:v>2112.7698529193685</c:v>
                </c:pt>
                <c:pt idx="45">
                  <c:v>2047.8106712844692</c:v>
                </c:pt>
                <c:pt idx="46">
                  <c:v>1975.8915773315452</c:v>
                </c:pt>
                <c:pt idx="47">
                  <c:v>1906.2924541512962</c:v>
                </c:pt>
                <c:pt idx="48">
                  <c:v>1834.3733601983722</c:v>
                </c:pt>
                <c:pt idx="49">
                  <c:v>1767.3656450546125</c:v>
                </c:pt>
                <c:pt idx="50">
                  <c:v>1700.8021277104328</c:v>
                </c:pt>
                <c:pt idx="51">
                  <c:v>1634.2386103662534</c:v>
                </c:pt>
                <c:pt idx="52">
                  <c:v>1569.8223032589826</c:v>
                </c:pt>
                <c:pt idx="53">
                  <c:v>1503.258785914803</c:v>
                </c:pt>
                <c:pt idx="54">
                  <c:v>1438.8424788075324</c:v>
                </c:pt>
                <c:pt idx="55">
                  <c:v>1372.2789614633527</c:v>
                </c:pt>
                <c:pt idx="56">
                  <c:v>1305.7154441191731</c:v>
                </c:pt>
                <c:pt idx="57">
                  <c:v>1245.5935574857203</c:v>
                </c:pt>
                <c:pt idx="58">
                  <c:v>1179.0300401415407</c:v>
                </c:pt>
                <c:pt idx="59">
                  <c:v>1114.6137330342704</c:v>
                </c:pt>
                <c:pt idx="60">
                  <c:v>1048.0502156900907</c:v>
                </c:pt>
                <c:pt idx="61">
                  <c:v>1015.8420621364552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90-49A9-977E-97620BC54E73}"/>
            </c:ext>
          </c:extLst>
        </c:ser>
        <c:ser>
          <c:idx val="1"/>
          <c:order val="1"/>
          <c:tx>
            <c:v>Status Quo</c:v>
          </c:tx>
          <c:marker>
            <c:symbol val="none"/>
          </c:marker>
          <c:xVal>
            <c:numRef>
              <c:f>'HB 61 Charts Helper'!$A$14:$A$75</c:f>
              <c:numCache>
                <c:formatCode>d\-mmm\-yy</c:formatCode>
                <c:ptCount val="62"/>
                <c:pt idx="0">
                  <c:v>42916</c:v>
                </c:pt>
                <c:pt idx="1">
                  <c:v>42931</c:v>
                </c:pt>
                <c:pt idx="2">
                  <c:v>42962</c:v>
                </c:pt>
                <c:pt idx="3">
                  <c:v>42993</c:v>
                </c:pt>
                <c:pt idx="4">
                  <c:v>43023</c:v>
                </c:pt>
                <c:pt idx="5">
                  <c:v>43054</c:v>
                </c:pt>
                <c:pt idx="6">
                  <c:v>43084</c:v>
                </c:pt>
                <c:pt idx="7">
                  <c:v>43115</c:v>
                </c:pt>
                <c:pt idx="8">
                  <c:v>43146</c:v>
                </c:pt>
                <c:pt idx="9">
                  <c:v>43174</c:v>
                </c:pt>
                <c:pt idx="10">
                  <c:v>43205</c:v>
                </c:pt>
                <c:pt idx="11">
                  <c:v>43235</c:v>
                </c:pt>
                <c:pt idx="12">
                  <c:v>43266</c:v>
                </c:pt>
                <c:pt idx="13">
                  <c:v>43296</c:v>
                </c:pt>
                <c:pt idx="14">
                  <c:v>43327</c:v>
                </c:pt>
                <c:pt idx="15">
                  <c:v>43358</c:v>
                </c:pt>
                <c:pt idx="16">
                  <c:v>43388</c:v>
                </c:pt>
                <c:pt idx="17">
                  <c:v>43419</c:v>
                </c:pt>
                <c:pt idx="18">
                  <c:v>43449</c:v>
                </c:pt>
                <c:pt idx="19">
                  <c:v>43480</c:v>
                </c:pt>
                <c:pt idx="20">
                  <c:v>43511</c:v>
                </c:pt>
                <c:pt idx="21">
                  <c:v>43539</c:v>
                </c:pt>
                <c:pt idx="22">
                  <c:v>43570</c:v>
                </c:pt>
                <c:pt idx="23">
                  <c:v>43600</c:v>
                </c:pt>
                <c:pt idx="24">
                  <c:v>43631</c:v>
                </c:pt>
                <c:pt idx="25">
                  <c:v>43661</c:v>
                </c:pt>
                <c:pt idx="26">
                  <c:v>43692</c:v>
                </c:pt>
                <c:pt idx="27">
                  <c:v>43723</c:v>
                </c:pt>
                <c:pt idx="28">
                  <c:v>43753</c:v>
                </c:pt>
                <c:pt idx="29">
                  <c:v>43784</c:v>
                </c:pt>
                <c:pt idx="30">
                  <c:v>43814</c:v>
                </c:pt>
                <c:pt idx="31">
                  <c:v>43845</c:v>
                </c:pt>
                <c:pt idx="32">
                  <c:v>43876</c:v>
                </c:pt>
                <c:pt idx="33">
                  <c:v>43905</c:v>
                </c:pt>
                <c:pt idx="34">
                  <c:v>43936</c:v>
                </c:pt>
                <c:pt idx="35">
                  <c:v>43966</c:v>
                </c:pt>
                <c:pt idx="36">
                  <c:v>43997</c:v>
                </c:pt>
                <c:pt idx="37">
                  <c:v>44027</c:v>
                </c:pt>
                <c:pt idx="38">
                  <c:v>44058</c:v>
                </c:pt>
                <c:pt idx="39">
                  <c:v>44089</c:v>
                </c:pt>
                <c:pt idx="40">
                  <c:v>44119</c:v>
                </c:pt>
                <c:pt idx="41">
                  <c:v>44150</c:v>
                </c:pt>
                <c:pt idx="42">
                  <c:v>44180</c:v>
                </c:pt>
                <c:pt idx="43">
                  <c:v>44211</c:v>
                </c:pt>
                <c:pt idx="44">
                  <c:v>44242</c:v>
                </c:pt>
                <c:pt idx="45">
                  <c:v>44270</c:v>
                </c:pt>
                <c:pt idx="46">
                  <c:v>44301</c:v>
                </c:pt>
                <c:pt idx="47">
                  <c:v>44331</c:v>
                </c:pt>
                <c:pt idx="48">
                  <c:v>44362</c:v>
                </c:pt>
                <c:pt idx="49">
                  <c:v>44392</c:v>
                </c:pt>
                <c:pt idx="50">
                  <c:v>44423</c:v>
                </c:pt>
                <c:pt idx="51">
                  <c:v>44454</c:v>
                </c:pt>
                <c:pt idx="52">
                  <c:v>44484</c:v>
                </c:pt>
                <c:pt idx="53">
                  <c:v>44515</c:v>
                </c:pt>
                <c:pt idx="54">
                  <c:v>44545</c:v>
                </c:pt>
                <c:pt idx="55">
                  <c:v>44576</c:v>
                </c:pt>
                <c:pt idx="56">
                  <c:v>44607</c:v>
                </c:pt>
                <c:pt idx="57">
                  <c:v>44635</c:v>
                </c:pt>
                <c:pt idx="58">
                  <c:v>44666</c:v>
                </c:pt>
                <c:pt idx="59">
                  <c:v>44696</c:v>
                </c:pt>
                <c:pt idx="60">
                  <c:v>44727</c:v>
                </c:pt>
                <c:pt idx="61">
                  <c:v>44742</c:v>
                </c:pt>
              </c:numCache>
            </c:numRef>
          </c:xVal>
          <c:yVal>
            <c:numRef>
              <c:f>'HB 61 Charts Helper'!$F$14:$F$75</c:f>
              <c:numCache>
                <c:formatCode>_(* #,##0_);_(* \(#,##0\);_(* "-"??_);_(@_)</c:formatCode>
                <c:ptCount val="62"/>
                <c:pt idx="0">
                  <c:v>6171.7926000000007</c:v>
                </c:pt>
                <c:pt idx="1">
                  <c:v>6032.391500800275</c:v>
                </c:pt>
                <c:pt idx="2">
                  <c:v>5744.2958957875071</c:v>
                </c:pt>
                <c:pt idx="3">
                  <c:v>5456.2002907747401</c:v>
                </c:pt>
                <c:pt idx="4">
                  <c:v>5177.3980923752879</c:v>
                </c:pt>
                <c:pt idx="5">
                  <c:v>4889.3024873625209</c:v>
                </c:pt>
                <c:pt idx="6">
                  <c:v>4610.5002889630687</c:v>
                </c:pt>
                <c:pt idx="7">
                  <c:v>4322.4046839503017</c:v>
                </c:pt>
                <c:pt idx="8">
                  <c:v>4034.3090789375347</c:v>
                </c:pt>
                <c:pt idx="9">
                  <c:v>3774.0936937647125</c:v>
                </c:pt>
                <c:pt idx="10">
                  <c:v>3485.9980887519455</c:v>
                </c:pt>
                <c:pt idx="11">
                  <c:v>3207.1958903524937</c:v>
                </c:pt>
                <c:pt idx="12">
                  <c:v>2919.1002853397263</c:v>
                </c:pt>
                <c:pt idx="13">
                  <c:v>2675.4160479131283</c:v>
                </c:pt>
                <c:pt idx="14">
                  <c:v>2459.897562244259</c:v>
                </c:pt>
                <c:pt idx="15">
                  <c:v>2244.3790765753902</c:v>
                </c:pt>
                <c:pt idx="16">
                  <c:v>2035.812800121646</c:v>
                </c:pt>
                <c:pt idx="17">
                  <c:v>1820.2943144527771</c:v>
                </c:pt>
                <c:pt idx="18">
                  <c:v>1611.7280379990329</c:v>
                </c:pt>
                <c:pt idx="19">
                  <c:v>1396.2095523301639</c:v>
                </c:pt>
                <c:pt idx="20">
                  <c:v>1180.6910666612951</c:v>
                </c:pt>
                <c:pt idx="21">
                  <c:v>986.02920863780037</c:v>
                </c:pt>
                <c:pt idx="22">
                  <c:v>770.51072296893153</c:v>
                </c:pt>
                <c:pt idx="23">
                  <c:v>561.94444651518734</c:v>
                </c:pt>
                <c:pt idx="24">
                  <c:v>346.4259608463185</c:v>
                </c:pt>
                <c:pt idx="25">
                  <c:v>140.19610130797076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90-49A9-977E-97620BC54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2905984"/>
        <c:axId val="303470080"/>
      </c:scatterChart>
      <c:valAx>
        <c:axId val="302905984"/>
        <c:scaling>
          <c:orientation val="minMax"/>
          <c:max val="44742"/>
          <c:min val="42916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&quot;30-&quot;mmm\-yy" sourceLinked="0"/>
        <c:majorTickMark val="out"/>
        <c:minorTickMark val="none"/>
        <c:tickLblPos val="nextTo"/>
        <c:crossAx val="303470080"/>
        <c:crosses val="autoZero"/>
        <c:crossBetween val="midCat"/>
        <c:majorUnit val="365"/>
      </c:valAx>
      <c:valAx>
        <c:axId val="303470080"/>
        <c:scaling>
          <c:orientation val="minMax"/>
          <c:max val="9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$ billions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302905984"/>
        <c:crosses val="autoZero"/>
        <c:crossBetween val="midCat"/>
        <c:dispUnits>
          <c:builtInUnit val="thousands"/>
        </c:dispUnits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Permanent Fund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With SB 84</c:v>
          </c:tx>
          <c:marker>
            <c:symbol val="none"/>
          </c:marker>
          <c:xVal>
            <c:numRef>
              <c:f>'HB 61 Charts Helper'!$A$4:$F$4</c:f>
              <c:numCache>
                <c:formatCode>d\-mmm\-yy</c:formatCode>
                <c:ptCount val="6"/>
                <c:pt idx="0">
                  <c:v>42916</c:v>
                </c:pt>
                <c:pt idx="1">
                  <c:v>43281</c:v>
                </c:pt>
                <c:pt idx="2">
                  <c:v>43646</c:v>
                </c:pt>
                <c:pt idx="3">
                  <c:v>44012</c:v>
                </c:pt>
                <c:pt idx="4">
                  <c:v>44377</c:v>
                </c:pt>
                <c:pt idx="5">
                  <c:v>44742</c:v>
                </c:pt>
              </c:numCache>
            </c:numRef>
          </c:xVal>
          <c:yVal>
            <c:numRef>
              <c:f>'SB 84'!$B$65:$G$65</c:f>
              <c:numCache>
                <c:formatCode>#,##0_);[Red]\(#,##0\)</c:formatCode>
                <c:ptCount val="6"/>
                <c:pt idx="0">
                  <c:v>56484.371347073997</c:v>
                </c:pt>
                <c:pt idx="1">
                  <c:v>57496.911778566595</c:v>
                </c:pt>
                <c:pt idx="2">
                  <c:v>58519.795625323488</c:v>
                </c:pt>
                <c:pt idx="3">
                  <c:v>59671.198689181918</c:v>
                </c:pt>
                <c:pt idx="4">
                  <c:v>60815.688493621063</c:v>
                </c:pt>
                <c:pt idx="5">
                  <c:v>61798.429824997795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22-4CAD-803B-684696E3A00B}"/>
            </c:ext>
          </c:extLst>
        </c:ser>
        <c:ser>
          <c:idx val="1"/>
          <c:order val="1"/>
          <c:tx>
            <c:v>Status Quo</c:v>
          </c:tx>
          <c:marker>
            <c:symbol val="none"/>
          </c:marker>
          <c:xVal>
            <c:numRef>
              <c:f>'HB 61 Charts Helper'!$A$4:$F$4</c:f>
              <c:numCache>
                <c:formatCode>d\-mmm\-yy</c:formatCode>
                <c:ptCount val="6"/>
                <c:pt idx="0">
                  <c:v>42916</c:v>
                </c:pt>
                <c:pt idx="1">
                  <c:v>43281</c:v>
                </c:pt>
                <c:pt idx="2">
                  <c:v>43646</c:v>
                </c:pt>
                <c:pt idx="3">
                  <c:v>44012</c:v>
                </c:pt>
                <c:pt idx="4">
                  <c:v>44377</c:v>
                </c:pt>
                <c:pt idx="5">
                  <c:v>44742</c:v>
                </c:pt>
              </c:numCache>
            </c:numRef>
          </c:xVal>
          <c:yVal>
            <c:numRef>
              <c:f>Generic!$B$51:$G$51</c:f>
              <c:numCache>
                <c:formatCode>#,##0_);[Red]\(#,##0\)</c:formatCode>
                <c:ptCount val="6"/>
                <c:pt idx="0">
                  <c:v>56484.371347073997</c:v>
                </c:pt>
                <c:pt idx="1">
                  <c:v>59057.187646130886</c:v>
                </c:pt>
                <c:pt idx="2">
                  <c:v>61786.298702676024</c:v>
                </c:pt>
                <c:pt idx="3">
                  <c:v>62469.954502832501</c:v>
                </c:pt>
                <c:pt idx="4">
                  <c:v>62869.258320105262</c:v>
                </c:pt>
                <c:pt idx="5">
                  <c:v>63122.681706917727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122-4CAD-803B-684696E3A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4884736"/>
        <c:axId val="304907008"/>
      </c:scatterChart>
      <c:valAx>
        <c:axId val="304884736"/>
        <c:scaling>
          <c:orientation val="minMax"/>
          <c:max val="44742"/>
          <c:min val="42916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&quot;30-&quot;mmm\-yy" sourceLinked="0"/>
        <c:majorTickMark val="out"/>
        <c:minorTickMark val="none"/>
        <c:tickLblPos val="nextTo"/>
        <c:crossAx val="304907008"/>
        <c:crosses val="autoZero"/>
        <c:crossBetween val="midCat"/>
        <c:majorUnit val="365"/>
      </c:valAx>
      <c:valAx>
        <c:axId val="304907008"/>
        <c:scaling>
          <c:orientation val="minMax"/>
          <c:max val="70000"/>
          <c:min val="4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$ billions</a:t>
                </a:r>
              </a:p>
            </c:rich>
          </c:tx>
          <c:overlay val="0"/>
        </c:title>
        <c:numFmt formatCode="#,##0_);[Red]\(#,##0\)" sourceLinked="1"/>
        <c:majorTickMark val="out"/>
        <c:minorTickMark val="none"/>
        <c:tickLblPos val="nextTo"/>
        <c:crossAx val="304884736"/>
        <c:crosses val="autoZero"/>
        <c:crossBetween val="midCat"/>
        <c:dispUnits>
          <c:builtInUnit val="thousands"/>
        </c:dispUnits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Permanent</a:t>
            </a:r>
            <a:r>
              <a:rPr lang="en-US" baseline="0"/>
              <a:t> Fund</a:t>
            </a:r>
            <a:r>
              <a:rPr lang="en-US"/>
              <a:t> Earnings Reserve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With SB 84</c:v>
          </c:tx>
          <c:marker>
            <c:symbol val="none"/>
          </c:marker>
          <c:xVal>
            <c:numRef>
              <c:f>'SB 84 Charts Helper'!$A$11:$A$72</c:f>
              <c:numCache>
                <c:formatCode>d\-mmm\-yy</c:formatCode>
                <c:ptCount val="62"/>
                <c:pt idx="0">
                  <c:v>42916</c:v>
                </c:pt>
                <c:pt idx="1">
                  <c:v>42931</c:v>
                </c:pt>
                <c:pt idx="2">
                  <c:v>42962</c:v>
                </c:pt>
                <c:pt idx="3">
                  <c:v>42993</c:v>
                </c:pt>
                <c:pt idx="4">
                  <c:v>43023</c:v>
                </c:pt>
                <c:pt idx="5">
                  <c:v>43054</c:v>
                </c:pt>
                <c:pt idx="6">
                  <c:v>43084</c:v>
                </c:pt>
                <c:pt idx="7">
                  <c:v>43115</c:v>
                </c:pt>
                <c:pt idx="8">
                  <c:v>43146</c:v>
                </c:pt>
                <c:pt idx="9">
                  <c:v>43174</c:v>
                </c:pt>
                <c:pt idx="10">
                  <c:v>43205</c:v>
                </c:pt>
                <c:pt idx="11">
                  <c:v>43235</c:v>
                </c:pt>
                <c:pt idx="12">
                  <c:v>43266</c:v>
                </c:pt>
                <c:pt idx="13">
                  <c:v>43296</c:v>
                </c:pt>
                <c:pt idx="14">
                  <c:v>43327</c:v>
                </c:pt>
                <c:pt idx="15">
                  <c:v>43358</c:v>
                </c:pt>
                <c:pt idx="16">
                  <c:v>43388</c:v>
                </c:pt>
                <c:pt idx="17">
                  <c:v>43419</c:v>
                </c:pt>
                <c:pt idx="18">
                  <c:v>43449</c:v>
                </c:pt>
                <c:pt idx="19">
                  <c:v>43480</c:v>
                </c:pt>
                <c:pt idx="20">
                  <c:v>43511</c:v>
                </c:pt>
                <c:pt idx="21">
                  <c:v>43539</c:v>
                </c:pt>
                <c:pt idx="22">
                  <c:v>43570</c:v>
                </c:pt>
                <c:pt idx="23">
                  <c:v>43600</c:v>
                </c:pt>
                <c:pt idx="24">
                  <c:v>43631</c:v>
                </c:pt>
                <c:pt idx="25">
                  <c:v>43661</c:v>
                </c:pt>
                <c:pt idx="26">
                  <c:v>43692</c:v>
                </c:pt>
                <c:pt idx="27">
                  <c:v>43723</c:v>
                </c:pt>
                <c:pt idx="28">
                  <c:v>43753</c:v>
                </c:pt>
                <c:pt idx="29">
                  <c:v>43784</c:v>
                </c:pt>
                <c:pt idx="30">
                  <c:v>43814</c:v>
                </c:pt>
                <c:pt idx="31">
                  <c:v>43845</c:v>
                </c:pt>
                <c:pt idx="32">
                  <c:v>43876</c:v>
                </c:pt>
                <c:pt idx="33">
                  <c:v>43905</c:v>
                </c:pt>
                <c:pt idx="34">
                  <c:v>43936</c:v>
                </c:pt>
                <c:pt idx="35">
                  <c:v>43966</c:v>
                </c:pt>
                <c:pt idx="36">
                  <c:v>43997</c:v>
                </c:pt>
                <c:pt idx="37">
                  <c:v>44027</c:v>
                </c:pt>
                <c:pt idx="38">
                  <c:v>44058</c:v>
                </c:pt>
                <c:pt idx="39">
                  <c:v>44089</c:v>
                </c:pt>
                <c:pt idx="40">
                  <c:v>44119</c:v>
                </c:pt>
                <c:pt idx="41">
                  <c:v>44150</c:v>
                </c:pt>
                <c:pt idx="42">
                  <c:v>44180</c:v>
                </c:pt>
                <c:pt idx="43">
                  <c:v>44211</c:v>
                </c:pt>
                <c:pt idx="44">
                  <c:v>44242</c:v>
                </c:pt>
                <c:pt idx="45">
                  <c:v>44270</c:v>
                </c:pt>
                <c:pt idx="46">
                  <c:v>44301</c:v>
                </c:pt>
                <c:pt idx="47">
                  <c:v>44331</c:v>
                </c:pt>
                <c:pt idx="48">
                  <c:v>44362</c:v>
                </c:pt>
                <c:pt idx="49">
                  <c:v>44392</c:v>
                </c:pt>
                <c:pt idx="50">
                  <c:v>44423</c:v>
                </c:pt>
                <c:pt idx="51">
                  <c:v>44454</c:v>
                </c:pt>
                <c:pt idx="52">
                  <c:v>44484</c:v>
                </c:pt>
                <c:pt idx="53">
                  <c:v>44515</c:v>
                </c:pt>
                <c:pt idx="54">
                  <c:v>44545</c:v>
                </c:pt>
                <c:pt idx="55">
                  <c:v>44576</c:v>
                </c:pt>
                <c:pt idx="56">
                  <c:v>44607</c:v>
                </c:pt>
                <c:pt idx="57">
                  <c:v>44635</c:v>
                </c:pt>
                <c:pt idx="58">
                  <c:v>44666</c:v>
                </c:pt>
                <c:pt idx="59">
                  <c:v>44696</c:v>
                </c:pt>
                <c:pt idx="60">
                  <c:v>44727</c:v>
                </c:pt>
                <c:pt idx="61">
                  <c:v>44742</c:v>
                </c:pt>
              </c:numCache>
            </c:numRef>
          </c:xVal>
          <c:yVal>
            <c:numRef>
              <c:f>'SB 84 Charts Helper'!$I$11:$I$72</c:f>
              <c:numCache>
                <c:formatCode>_(* #,##0_);_(* \(#,##0\);_(* "-"??_);_(@_)</c:formatCode>
                <c:ptCount val="62"/>
                <c:pt idx="0">
                  <c:v>11670.469051503305</c:v>
                </c:pt>
                <c:pt idx="1">
                  <c:v>11653.787694848459</c:v>
                </c:pt>
                <c:pt idx="2">
                  <c:v>11619.312891095113</c:v>
                </c:pt>
                <c:pt idx="3">
                  <c:v>11584.838087341765</c:v>
                </c:pt>
                <c:pt idx="4">
                  <c:v>11551.475374032074</c:v>
                </c:pt>
                <c:pt idx="5">
                  <c:v>11517.000570278726</c:v>
                </c:pt>
                <c:pt idx="6">
                  <c:v>11483.637856969035</c:v>
                </c:pt>
                <c:pt idx="7">
                  <c:v>11449.163053215687</c:v>
                </c:pt>
                <c:pt idx="8">
                  <c:v>11414.688249462339</c:v>
                </c:pt>
                <c:pt idx="9">
                  <c:v>11383.549717039961</c:v>
                </c:pt>
                <c:pt idx="10">
                  <c:v>11349.074913286613</c:v>
                </c:pt>
                <c:pt idx="11">
                  <c:v>11315.712199976922</c:v>
                </c:pt>
                <c:pt idx="12">
                  <c:v>11281.237396223574</c:v>
                </c:pt>
                <c:pt idx="13">
                  <c:v>11246.966438475038</c:v>
                </c:pt>
                <c:pt idx="14">
                  <c:v>11210.614596214746</c:v>
                </c:pt>
                <c:pt idx="15">
                  <c:v>11174.262753954454</c:v>
                </c:pt>
                <c:pt idx="16">
                  <c:v>11139.083551767073</c:v>
                </c:pt>
                <c:pt idx="17">
                  <c:v>11102.731709506781</c:v>
                </c:pt>
                <c:pt idx="18">
                  <c:v>11067.5525073194</c:v>
                </c:pt>
                <c:pt idx="19">
                  <c:v>11031.200665059108</c:v>
                </c:pt>
                <c:pt idx="20">
                  <c:v>10994.848822798816</c:v>
                </c:pt>
                <c:pt idx="21">
                  <c:v>10962.014900757262</c:v>
                </c:pt>
                <c:pt idx="22">
                  <c:v>10925.66305849697</c:v>
                </c:pt>
                <c:pt idx="23">
                  <c:v>10890.483856309589</c:v>
                </c:pt>
                <c:pt idx="24">
                  <c:v>10854.132014049297</c:v>
                </c:pt>
                <c:pt idx="25">
                  <c:v>10824.168198663961</c:v>
                </c:pt>
                <c:pt idx="26">
                  <c:v>10798.594822461231</c:v>
                </c:pt>
                <c:pt idx="27">
                  <c:v>10773.021446258499</c:v>
                </c:pt>
                <c:pt idx="28">
                  <c:v>10748.27301767521</c:v>
                </c:pt>
                <c:pt idx="29">
                  <c:v>10722.699641472478</c:v>
                </c:pt>
                <c:pt idx="30">
                  <c:v>10697.951212889189</c:v>
                </c:pt>
                <c:pt idx="31">
                  <c:v>10672.377836686457</c:v>
                </c:pt>
                <c:pt idx="32">
                  <c:v>10646.804460483725</c:v>
                </c:pt>
                <c:pt idx="33">
                  <c:v>10622.880979519879</c:v>
                </c:pt>
                <c:pt idx="34">
                  <c:v>10597.307603317147</c:v>
                </c:pt>
                <c:pt idx="35">
                  <c:v>10572.559174733859</c:v>
                </c:pt>
                <c:pt idx="36">
                  <c:v>10546.985798531126</c:v>
                </c:pt>
                <c:pt idx="37">
                  <c:v>10521.11979282635</c:v>
                </c:pt>
                <c:pt idx="38">
                  <c:v>10493.236757239209</c:v>
                </c:pt>
                <c:pt idx="39">
                  <c:v>10465.353721652065</c:v>
                </c:pt>
                <c:pt idx="40">
                  <c:v>10438.3701388258</c:v>
                </c:pt>
                <c:pt idx="41">
                  <c:v>10410.487103238658</c:v>
                </c:pt>
                <c:pt idx="42">
                  <c:v>10383.503520412392</c:v>
                </c:pt>
                <c:pt idx="43">
                  <c:v>10355.620484825249</c:v>
                </c:pt>
                <c:pt idx="44">
                  <c:v>10327.737449238108</c:v>
                </c:pt>
                <c:pt idx="45">
                  <c:v>10302.552771933593</c:v>
                </c:pt>
                <c:pt idx="46">
                  <c:v>10274.669736346452</c:v>
                </c:pt>
                <c:pt idx="47">
                  <c:v>10247.686153520184</c:v>
                </c:pt>
                <c:pt idx="48">
                  <c:v>10219.803117933043</c:v>
                </c:pt>
                <c:pt idx="49">
                  <c:v>10184.686937841403</c:v>
                </c:pt>
                <c:pt idx="50">
                  <c:v>10139.996534572489</c:v>
                </c:pt>
                <c:pt idx="51">
                  <c:v>10095.306131303572</c:v>
                </c:pt>
                <c:pt idx="52">
                  <c:v>10052.057353946559</c:v>
                </c:pt>
                <c:pt idx="53">
                  <c:v>10007.366950677644</c:v>
                </c:pt>
                <c:pt idx="54">
                  <c:v>9964.1181733206304</c:v>
                </c:pt>
                <c:pt idx="55">
                  <c:v>9919.4277700517141</c:v>
                </c:pt>
                <c:pt idx="56">
                  <c:v>9874.7373667827997</c:v>
                </c:pt>
                <c:pt idx="57">
                  <c:v>9834.3718412495873</c:v>
                </c:pt>
                <c:pt idx="58">
                  <c:v>9789.681437980671</c:v>
                </c:pt>
                <c:pt idx="59">
                  <c:v>9746.4326606236573</c:v>
                </c:pt>
                <c:pt idx="60">
                  <c:v>9701.7422573547428</c:v>
                </c:pt>
                <c:pt idx="61">
                  <c:v>9680.117868676236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5FC-48DA-AB67-F1D15AAFBC9E}"/>
            </c:ext>
          </c:extLst>
        </c:ser>
        <c:ser>
          <c:idx val="1"/>
          <c:order val="1"/>
          <c:tx>
            <c:v>Status Quo</c:v>
          </c:tx>
          <c:marker>
            <c:symbol val="none"/>
          </c:marker>
          <c:xVal>
            <c:numRef>
              <c:f>'HB 61 Charts Helper'!$A$14:$A$75</c:f>
              <c:numCache>
                <c:formatCode>d\-mmm\-yy</c:formatCode>
                <c:ptCount val="62"/>
                <c:pt idx="0">
                  <c:v>42916</c:v>
                </c:pt>
                <c:pt idx="1">
                  <c:v>42931</c:v>
                </c:pt>
                <c:pt idx="2">
                  <c:v>42962</c:v>
                </c:pt>
                <c:pt idx="3">
                  <c:v>42993</c:v>
                </c:pt>
                <c:pt idx="4">
                  <c:v>43023</c:v>
                </c:pt>
                <c:pt idx="5">
                  <c:v>43054</c:v>
                </c:pt>
                <c:pt idx="6">
                  <c:v>43084</c:v>
                </c:pt>
                <c:pt idx="7">
                  <c:v>43115</c:v>
                </c:pt>
                <c:pt idx="8">
                  <c:v>43146</c:v>
                </c:pt>
                <c:pt idx="9">
                  <c:v>43174</c:v>
                </c:pt>
                <c:pt idx="10">
                  <c:v>43205</c:v>
                </c:pt>
                <c:pt idx="11">
                  <c:v>43235</c:v>
                </c:pt>
                <c:pt idx="12">
                  <c:v>43266</c:v>
                </c:pt>
                <c:pt idx="13">
                  <c:v>43296</c:v>
                </c:pt>
                <c:pt idx="14">
                  <c:v>43327</c:v>
                </c:pt>
                <c:pt idx="15">
                  <c:v>43358</c:v>
                </c:pt>
                <c:pt idx="16">
                  <c:v>43388</c:v>
                </c:pt>
                <c:pt idx="17">
                  <c:v>43419</c:v>
                </c:pt>
                <c:pt idx="18">
                  <c:v>43449</c:v>
                </c:pt>
                <c:pt idx="19">
                  <c:v>43480</c:v>
                </c:pt>
                <c:pt idx="20">
                  <c:v>43511</c:v>
                </c:pt>
                <c:pt idx="21">
                  <c:v>43539</c:v>
                </c:pt>
                <c:pt idx="22">
                  <c:v>43570</c:v>
                </c:pt>
                <c:pt idx="23">
                  <c:v>43600</c:v>
                </c:pt>
                <c:pt idx="24">
                  <c:v>43631</c:v>
                </c:pt>
                <c:pt idx="25">
                  <c:v>43661</c:v>
                </c:pt>
                <c:pt idx="26">
                  <c:v>43692</c:v>
                </c:pt>
                <c:pt idx="27">
                  <c:v>43723</c:v>
                </c:pt>
                <c:pt idx="28">
                  <c:v>43753</c:v>
                </c:pt>
                <c:pt idx="29">
                  <c:v>43784</c:v>
                </c:pt>
                <c:pt idx="30">
                  <c:v>43814</c:v>
                </c:pt>
                <c:pt idx="31">
                  <c:v>43845</c:v>
                </c:pt>
                <c:pt idx="32">
                  <c:v>43876</c:v>
                </c:pt>
                <c:pt idx="33">
                  <c:v>43905</c:v>
                </c:pt>
                <c:pt idx="34">
                  <c:v>43936</c:v>
                </c:pt>
                <c:pt idx="35">
                  <c:v>43966</c:v>
                </c:pt>
                <c:pt idx="36">
                  <c:v>43997</c:v>
                </c:pt>
                <c:pt idx="37">
                  <c:v>44027</c:v>
                </c:pt>
                <c:pt idx="38">
                  <c:v>44058</c:v>
                </c:pt>
                <c:pt idx="39">
                  <c:v>44089</c:v>
                </c:pt>
                <c:pt idx="40">
                  <c:v>44119</c:v>
                </c:pt>
                <c:pt idx="41">
                  <c:v>44150</c:v>
                </c:pt>
                <c:pt idx="42">
                  <c:v>44180</c:v>
                </c:pt>
                <c:pt idx="43">
                  <c:v>44211</c:v>
                </c:pt>
                <c:pt idx="44">
                  <c:v>44242</c:v>
                </c:pt>
                <c:pt idx="45">
                  <c:v>44270</c:v>
                </c:pt>
                <c:pt idx="46">
                  <c:v>44301</c:v>
                </c:pt>
                <c:pt idx="47">
                  <c:v>44331</c:v>
                </c:pt>
                <c:pt idx="48">
                  <c:v>44362</c:v>
                </c:pt>
                <c:pt idx="49">
                  <c:v>44392</c:v>
                </c:pt>
                <c:pt idx="50">
                  <c:v>44423</c:v>
                </c:pt>
                <c:pt idx="51">
                  <c:v>44454</c:v>
                </c:pt>
                <c:pt idx="52">
                  <c:v>44484</c:v>
                </c:pt>
                <c:pt idx="53">
                  <c:v>44515</c:v>
                </c:pt>
                <c:pt idx="54">
                  <c:v>44545</c:v>
                </c:pt>
                <c:pt idx="55">
                  <c:v>44576</c:v>
                </c:pt>
                <c:pt idx="56">
                  <c:v>44607</c:v>
                </c:pt>
                <c:pt idx="57">
                  <c:v>44635</c:v>
                </c:pt>
                <c:pt idx="58">
                  <c:v>44666</c:v>
                </c:pt>
                <c:pt idx="59">
                  <c:v>44696</c:v>
                </c:pt>
                <c:pt idx="60">
                  <c:v>44727</c:v>
                </c:pt>
                <c:pt idx="61">
                  <c:v>44742</c:v>
                </c:pt>
              </c:numCache>
            </c:numRef>
          </c:xVal>
          <c:yVal>
            <c:numRef>
              <c:f>'HB 61 Charts Helper'!$O$14:$O$75</c:f>
              <c:numCache>
                <c:formatCode>_(* #,##0_);_(* \(#,##0\);_(* "-"??_);_(@_)</c:formatCode>
                <c:ptCount val="62"/>
                <c:pt idx="0">
                  <c:v>11670.469051503305</c:v>
                </c:pt>
                <c:pt idx="1">
                  <c:v>11717.121374616017</c:v>
                </c:pt>
                <c:pt idx="2">
                  <c:v>11813.536175715624</c:v>
                </c:pt>
                <c:pt idx="3">
                  <c:v>11909.950976815231</c:v>
                </c:pt>
                <c:pt idx="4">
                  <c:v>12003.255623040657</c:v>
                </c:pt>
                <c:pt idx="5">
                  <c:v>12099.670424140264</c:v>
                </c:pt>
                <c:pt idx="6">
                  <c:v>12192.97507036569</c:v>
                </c:pt>
                <c:pt idx="7">
                  <c:v>12289.389871465297</c:v>
                </c:pt>
                <c:pt idx="8">
                  <c:v>12385.804672564904</c:v>
                </c:pt>
                <c:pt idx="9">
                  <c:v>12472.889009041968</c:v>
                </c:pt>
                <c:pt idx="10">
                  <c:v>12569.303810141573</c:v>
                </c:pt>
                <c:pt idx="11">
                  <c:v>12662.608456366999</c:v>
                </c:pt>
                <c:pt idx="12">
                  <c:v>12759.023257466606</c:v>
                </c:pt>
                <c:pt idx="13">
                  <c:v>12856.238567607981</c:v>
                </c:pt>
                <c:pt idx="14">
                  <c:v>12960.735407467213</c:v>
                </c:pt>
                <c:pt idx="15">
                  <c:v>13065.232247326447</c:v>
                </c:pt>
                <c:pt idx="16">
                  <c:v>13166.358221383769</c:v>
                </c:pt>
                <c:pt idx="17">
                  <c:v>13270.855061243001</c:v>
                </c:pt>
                <c:pt idx="18">
                  <c:v>13371.981035300323</c:v>
                </c:pt>
                <c:pt idx="19">
                  <c:v>13476.477875159555</c:v>
                </c:pt>
                <c:pt idx="20">
                  <c:v>13580.974715018789</c:v>
                </c:pt>
                <c:pt idx="21">
                  <c:v>13675.358957472288</c:v>
                </c:pt>
                <c:pt idx="22">
                  <c:v>13779.855797331522</c:v>
                </c:pt>
                <c:pt idx="23">
                  <c:v>13880.981771388844</c:v>
                </c:pt>
                <c:pt idx="24">
                  <c:v>13985.478611248076</c:v>
                </c:pt>
                <c:pt idx="25">
                  <c:v>13991.153843611557</c:v>
                </c:pt>
                <c:pt idx="26">
                  <c:v>13898.385817303517</c:v>
                </c:pt>
                <c:pt idx="27">
                  <c:v>13805.617790995479</c:v>
                </c:pt>
                <c:pt idx="28">
                  <c:v>13715.842281665116</c:v>
                </c:pt>
                <c:pt idx="29">
                  <c:v>13623.074255357078</c:v>
                </c:pt>
                <c:pt idx="30">
                  <c:v>13533.298746026716</c:v>
                </c:pt>
                <c:pt idx="31">
                  <c:v>13440.530719718678</c:v>
                </c:pt>
                <c:pt idx="32">
                  <c:v>13347.762693410637</c:v>
                </c:pt>
                <c:pt idx="33">
                  <c:v>13260.979701057955</c:v>
                </c:pt>
                <c:pt idx="34">
                  <c:v>13168.211674749915</c:v>
                </c:pt>
                <c:pt idx="35">
                  <c:v>13078.436165419555</c:v>
                </c:pt>
                <c:pt idx="36">
                  <c:v>12985.668139111516</c:v>
                </c:pt>
                <c:pt idx="37">
                  <c:v>12879.750886627115</c:v>
                </c:pt>
                <c:pt idx="38">
                  <c:v>12753.623257800728</c:v>
                </c:pt>
                <c:pt idx="39">
                  <c:v>12627.495628974342</c:v>
                </c:pt>
                <c:pt idx="40">
                  <c:v>12505.436633335903</c:v>
                </c:pt>
                <c:pt idx="41">
                  <c:v>12379.309004509516</c:v>
                </c:pt>
                <c:pt idx="42">
                  <c:v>12257.250008871079</c:v>
                </c:pt>
                <c:pt idx="43">
                  <c:v>12131.122380044691</c:v>
                </c:pt>
                <c:pt idx="44">
                  <c:v>12004.994751218306</c:v>
                </c:pt>
                <c:pt idx="45">
                  <c:v>11891.073021955763</c:v>
                </c:pt>
                <c:pt idx="46">
                  <c:v>11764.945393129376</c:v>
                </c:pt>
                <c:pt idx="47">
                  <c:v>11642.886397490938</c:v>
                </c:pt>
                <c:pt idx="48">
                  <c:v>11516.758768664551</c:v>
                </c:pt>
                <c:pt idx="49">
                  <c:v>11385.235193736542</c:v>
                </c:pt>
                <c:pt idx="50">
                  <c:v>11239.547434378379</c:v>
                </c:pt>
                <c:pt idx="51">
                  <c:v>11093.859675020214</c:v>
                </c:pt>
                <c:pt idx="52">
                  <c:v>10952.871520802637</c:v>
                </c:pt>
                <c:pt idx="53">
                  <c:v>10807.183761444472</c:v>
                </c:pt>
                <c:pt idx="54">
                  <c:v>10666.195607226895</c:v>
                </c:pt>
                <c:pt idx="55">
                  <c:v>10520.50784786873</c:v>
                </c:pt>
                <c:pt idx="56">
                  <c:v>10374.820088510565</c:v>
                </c:pt>
                <c:pt idx="57">
                  <c:v>10243.23114457416</c:v>
                </c:pt>
                <c:pt idx="58">
                  <c:v>10097.543385215995</c:v>
                </c:pt>
                <c:pt idx="59">
                  <c:v>9956.5552309984178</c:v>
                </c:pt>
                <c:pt idx="60">
                  <c:v>9810.8674716402529</c:v>
                </c:pt>
                <c:pt idx="61">
                  <c:v>9740.3733945314652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5FC-48DA-AB67-F1D15AAFB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5271936"/>
        <c:axId val="305328128"/>
      </c:scatterChart>
      <c:valAx>
        <c:axId val="305271936"/>
        <c:scaling>
          <c:orientation val="minMax"/>
          <c:max val="44742"/>
          <c:min val="42916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&quot;30-&quot;mmm\-yy" sourceLinked="0"/>
        <c:majorTickMark val="out"/>
        <c:minorTickMark val="none"/>
        <c:tickLblPos val="nextTo"/>
        <c:crossAx val="305328128"/>
        <c:crosses val="autoZero"/>
        <c:crossBetween val="midCat"/>
        <c:majorUnit val="365"/>
      </c:valAx>
      <c:valAx>
        <c:axId val="305328128"/>
        <c:scaling>
          <c:orientation val="minMax"/>
          <c:max val="2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$ billions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305271936"/>
        <c:crosses val="autoZero"/>
        <c:crossBetween val="midCat"/>
        <c:dispUnits>
          <c:builtInUnit val="thousands"/>
        </c:dispUnits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Dividend Check Forecast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With SB 84</c:v>
          </c:tx>
          <c:spPr>
            <a:ln>
              <a:solidFill>
                <a:srgbClr val="0070C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'HB61'!$C$106:$G$106</c:f>
              <c:numCache>
                <c:formatCode>[$-409]mmm\-yyyy;@</c:formatCode>
                <c:ptCount val="5"/>
                <c:pt idx="0">
                  <c:v>43009</c:v>
                </c:pt>
                <c:pt idx="1">
                  <c:v>43374</c:v>
                </c:pt>
                <c:pt idx="2">
                  <c:v>43739</c:v>
                </c:pt>
                <c:pt idx="3">
                  <c:v>44105</c:v>
                </c:pt>
                <c:pt idx="4">
                  <c:v>44470</c:v>
                </c:pt>
              </c:numCache>
            </c:numRef>
          </c:cat>
          <c:val>
            <c:numRef>
              <c:f>'SB 84'!$C$72:$G$72</c:f>
              <c:numCache>
                <c:formatCode>#,##0_);[Red]\(#,##0\)</c:formatCode>
                <c:ptCount val="5"/>
                <c:pt idx="0">
                  <c:v>2240.4135886896033</c:v>
                </c:pt>
                <c:pt idx="1">
                  <c:v>2293.1965858392173</c:v>
                </c:pt>
                <c:pt idx="2">
                  <c:v>2259.9796410362369</c:v>
                </c:pt>
                <c:pt idx="3">
                  <c:v>2333.2647835335679</c:v>
                </c:pt>
                <c:pt idx="4">
                  <c:v>2524.6567884290398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91-4379-AB97-208960EE7037}"/>
            </c:ext>
          </c:extLst>
        </c:ser>
        <c:ser>
          <c:idx val="1"/>
          <c:order val="1"/>
          <c:tx>
            <c:v>Status Quo</c:v>
          </c:tx>
          <c:spPr>
            <a:ln>
              <a:solidFill>
                <a:srgbClr val="C00000"/>
              </a:solidFill>
            </a:ln>
          </c:spPr>
          <c:invertIfNegative val="0"/>
          <c:dPt>
            <c:idx val="3"/>
            <c:invertIfNegative val="0"/>
            <c:bubble3D val="0"/>
            <c:spPr>
              <a:noFill/>
              <a:ln w="254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AA91-4379-AB97-208960EE7037}"/>
              </c:ext>
            </c:extLst>
          </c:dPt>
          <c:dPt>
            <c:idx val="4"/>
            <c:invertIfNegative val="0"/>
            <c:bubble3D val="0"/>
            <c:spPr>
              <a:noFill/>
              <a:ln w="254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AA91-4379-AB97-208960EE7037}"/>
              </c:ext>
            </c:extLst>
          </c:dPt>
          <c:cat>
            <c:numRef>
              <c:f>'HB61'!$C$106:$G$106</c:f>
              <c:numCache>
                <c:formatCode>[$-409]mmm\-yyyy;@</c:formatCode>
                <c:ptCount val="5"/>
                <c:pt idx="0">
                  <c:v>43009</c:v>
                </c:pt>
                <c:pt idx="1">
                  <c:v>43374</c:v>
                </c:pt>
                <c:pt idx="2">
                  <c:v>43739</c:v>
                </c:pt>
                <c:pt idx="3">
                  <c:v>44105</c:v>
                </c:pt>
                <c:pt idx="4">
                  <c:v>44470</c:v>
                </c:pt>
              </c:numCache>
            </c:numRef>
          </c:cat>
          <c:val>
            <c:numRef>
              <c:f>'HB61'!$C$108:$G$108</c:f>
              <c:numCache>
                <c:formatCode>#,##0_);[Red]\(#,##0\)</c:formatCode>
                <c:ptCount val="5"/>
                <c:pt idx="0">
                  <c:v>2240.4135886896033</c:v>
                </c:pt>
                <c:pt idx="1">
                  <c:v>2293.4589332172404</c:v>
                </c:pt>
                <c:pt idx="2">
                  <c:v>2275.760482349207</c:v>
                </c:pt>
                <c:pt idx="3">
                  <c:v>2380.838917196153</c:v>
                </c:pt>
                <c:pt idx="4">
                  <c:v>2599.0175137051265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91-4379-AB97-208960EE7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6674304"/>
        <c:axId val="306938624"/>
      </c:barChart>
      <c:catAx>
        <c:axId val="306674304"/>
        <c:scaling>
          <c:orientation val="minMax"/>
        </c:scaling>
        <c:delete val="0"/>
        <c:axPos val="b"/>
        <c:numFmt formatCode="[$-409]mmm\-yyyy;@" sourceLinked="1"/>
        <c:majorTickMark val="out"/>
        <c:minorTickMark val="none"/>
        <c:tickLblPos val="nextTo"/>
        <c:crossAx val="306938624"/>
        <c:crosses val="autoZero"/>
        <c:auto val="0"/>
        <c:lblAlgn val="ctr"/>
        <c:lblOffset val="100"/>
        <c:noMultiLvlLbl val="0"/>
      </c:catAx>
      <c:valAx>
        <c:axId val="30693862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$ per Recipient</a:t>
                </a:r>
              </a:p>
            </c:rich>
          </c:tx>
          <c:overlay val="0"/>
        </c:title>
        <c:numFmt formatCode="&quot;$&quot;#,##0_);\(&quot;$&quot;#,##0\)" sourceLinked="0"/>
        <c:majorTickMark val="out"/>
        <c:minorTickMark val="none"/>
        <c:tickLblPos val="nextTo"/>
        <c:crossAx val="30667430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Constitutional Budget Reserve + Misc Funds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 With Solutions</c:v>
          </c:tx>
          <c:marker>
            <c:symbol val="none"/>
          </c:marker>
          <c:xVal>
            <c:numRef>
              <c:f>'Generic Charts Helper'!$A$11:$A$72</c:f>
              <c:numCache>
                <c:formatCode>d\-mmm\-yy</c:formatCode>
                <c:ptCount val="62"/>
                <c:pt idx="0">
                  <c:v>42916</c:v>
                </c:pt>
                <c:pt idx="1">
                  <c:v>42931</c:v>
                </c:pt>
                <c:pt idx="2">
                  <c:v>42962</c:v>
                </c:pt>
                <c:pt idx="3">
                  <c:v>42993</c:v>
                </c:pt>
                <c:pt idx="4">
                  <c:v>43023</c:v>
                </c:pt>
                <c:pt idx="5">
                  <c:v>43054</c:v>
                </c:pt>
                <c:pt idx="6">
                  <c:v>43084</c:v>
                </c:pt>
                <c:pt idx="7">
                  <c:v>43115</c:v>
                </c:pt>
                <c:pt idx="8">
                  <c:v>43146</c:v>
                </c:pt>
                <c:pt idx="9">
                  <c:v>43174</c:v>
                </c:pt>
                <c:pt idx="10">
                  <c:v>43205</c:v>
                </c:pt>
                <c:pt idx="11">
                  <c:v>43235</c:v>
                </c:pt>
                <c:pt idx="12">
                  <c:v>43266</c:v>
                </c:pt>
                <c:pt idx="13">
                  <c:v>43296</c:v>
                </c:pt>
                <c:pt idx="14">
                  <c:v>43327</c:v>
                </c:pt>
                <c:pt idx="15">
                  <c:v>43358</c:v>
                </c:pt>
                <c:pt idx="16">
                  <c:v>43388</c:v>
                </c:pt>
                <c:pt idx="17">
                  <c:v>43419</c:v>
                </c:pt>
                <c:pt idx="18">
                  <c:v>43449</c:v>
                </c:pt>
                <c:pt idx="19">
                  <c:v>43480</c:v>
                </c:pt>
                <c:pt idx="20">
                  <c:v>43511</c:v>
                </c:pt>
                <c:pt idx="21">
                  <c:v>43539</c:v>
                </c:pt>
                <c:pt idx="22">
                  <c:v>43570</c:v>
                </c:pt>
                <c:pt idx="23">
                  <c:v>43600</c:v>
                </c:pt>
                <c:pt idx="24">
                  <c:v>43631</c:v>
                </c:pt>
                <c:pt idx="25">
                  <c:v>43661</c:v>
                </c:pt>
                <c:pt idx="26">
                  <c:v>43692</c:v>
                </c:pt>
                <c:pt idx="27">
                  <c:v>43723</c:v>
                </c:pt>
                <c:pt idx="28">
                  <c:v>43753</c:v>
                </c:pt>
                <c:pt idx="29">
                  <c:v>43784</c:v>
                </c:pt>
                <c:pt idx="30">
                  <c:v>43814</c:v>
                </c:pt>
                <c:pt idx="31">
                  <c:v>43845</c:v>
                </c:pt>
                <c:pt idx="32">
                  <c:v>43876</c:v>
                </c:pt>
                <c:pt idx="33">
                  <c:v>43905</c:v>
                </c:pt>
                <c:pt idx="34">
                  <c:v>43936</c:v>
                </c:pt>
                <c:pt idx="35">
                  <c:v>43966</c:v>
                </c:pt>
                <c:pt idx="36">
                  <c:v>43997</c:v>
                </c:pt>
                <c:pt idx="37">
                  <c:v>44027</c:v>
                </c:pt>
                <c:pt idx="38">
                  <c:v>44058</c:v>
                </c:pt>
                <c:pt idx="39">
                  <c:v>44089</c:v>
                </c:pt>
                <c:pt idx="40">
                  <c:v>44119</c:v>
                </c:pt>
                <c:pt idx="41">
                  <c:v>44150</c:v>
                </c:pt>
                <c:pt idx="42">
                  <c:v>44180</c:v>
                </c:pt>
                <c:pt idx="43">
                  <c:v>44211</c:v>
                </c:pt>
                <c:pt idx="44">
                  <c:v>44242</c:v>
                </c:pt>
                <c:pt idx="45">
                  <c:v>44270</c:v>
                </c:pt>
                <c:pt idx="46">
                  <c:v>44301</c:v>
                </c:pt>
                <c:pt idx="47">
                  <c:v>44331</c:v>
                </c:pt>
                <c:pt idx="48">
                  <c:v>44362</c:v>
                </c:pt>
                <c:pt idx="49">
                  <c:v>44392</c:v>
                </c:pt>
                <c:pt idx="50">
                  <c:v>44423</c:v>
                </c:pt>
                <c:pt idx="51">
                  <c:v>44454</c:v>
                </c:pt>
                <c:pt idx="52">
                  <c:v>44484</c:v>
                </c:pt>
                <c:pt idx="53">
                  <c:v>44515</c:v>
                </c:pt>
                <c:pt idx="54">
                  <c:v>44545</c:v>
                </c:pt>
                <c:pt idx="55">
                  <c:v>44576</c:v>
                </c:pt>
                <c:pt idx="56">
                  <c:v>44607</c:v>
                </c:pt>
                <c:pt idx="57">
                  <c:v>44635</c:v>
                </c:pt>
                <c:pt idx="58">
                  <c:v>44666</c:v>
                </c:pt>
                <c:pt idx="59">
                  <c:v>44696</c:v>
                </c:pt>
                <c:pt idx="60">
                  <c:v>44727</c:v>
                </c:pt>
                <c:pt idx="61">
                  <c:v>44742</c:v>
                </c:pt>
              </c:numCache>
            </c:numRef>
          </c:xVal>
          <c:yVal>
            <c:numRef>
              <c:f>'Generic Charts Helper'!$F$11:$F$72</c:f>
              <c:numCache>
                <c:formatCode>_(* #,##0_);_(* \(#,##0\);_(* "-"??_);_(@_)</c:formatCode>
                <c:ptCount val="62"/>
                <c:pt idx="0">
                  <c:v>6171.7926000000007</c:v>
                </c:pt>
                <c:pt idx="1">
                  <c:v>6050.0962936495898</c:v>
                </c:pt>
                <c:pt idx="2">
                  <c:v>5798.5905938587402</c:v>
                </c:pt>
                <c:pt idx="3">
                  <c:v>5547.0848940678907</c:v>
                </c:pt>
                <c:pt idx="4">
                  <c:v>5303.692281367069</c:v>
                </c:pt>
                <c:pt idx="5">
                  <c:v>5052.1865815762194</c:v>
                </c:pt>
                <c:pt idx="6">
                  <c:v>4808.7939688753977</c:v>
                </c:pt>
                <c:pt idx="7">
                  <c:v>4557.2882690845481</c:v>
                </c:pt>
                <c:pt idx="8">
                  <c:v>4305.7825692936985</c:v>
                </c:pt>
                <c:pt idx="9">
                  <c:v>4078.6161307729317</c:v>
                </c:pt>
                <c:pt idx="10">
                  <c:v>3827.1104309820826</c:v>
                </c:pt>
                <c:pt idx="11">
                  <c:v>3583.7178182812604</c:v>
                </c:pt>
                <c:pt idx="12">
                  <c:v>3332.2121184904113</c:v>
                </c:pt>
                <c:pt idx="13">
                  <c:v>3132.4162920579806</c:v>
                </c:pt>
                <c:pt idx="14">
                  <c:v>2971.0106172218057</c:v>
                </c:pt>
                <c:pt idx="15">
                  <c:v>2809.6049423856311</c:v>
                </c:pt>
                <c:pt idx="16">
                  <c:v>2653.4059022215911</c:v>
                </c:pt>
                <c:pt idx="17">
                  <c:v>2492.0002273854161</c:v>
                </c:pt>
                <c:pt idx="18">
                  <c:v>2335.8011872213765</c:v>
                </c:pt>
                <c:pt idx="19">
                  <c:v>2174.3955123852015</c:v>
                </c:pt>
                <c:pt idx="20">
                  <c:v>2012.989837549027</c:v>
                </c:pt>
                <c:pt idx="21">
                  <c:v>1867.2040667292563</c:v>
                </c:pt>
                <c:pt idx="22">
                  <c:v>1705.7983918930815</c:v>
                </c:pt>
                <c:pt idx="23">
                  <c:v>1549.5993517290415</c:v>
                </c:pt>
                <c:pt idx="24">
                  <c:v>1388.1936768928667</c:v>
                </c:pt>
                <c:pt idx="25">
                  <c:v>1241.3759421160446</c:v>
                </c:pt>
                <c:pt idx="26">
                  <c:v>1099.3582984134539</c:v>
                </c:pt>
                <c:pt idx="27">
                  <c:v>957.3406547108633</c:v>
                </c:pt>
                <c:pt idx="28">
                  <c:v>819.90422532125945</c:v>
                </c:pt>
                <c:pt idx="29">
                  <c:v>677.88658161866886</c:v>
                </c:pt>
                <c:pt idx="30">
                  <c:v>540.450152229065</c:v>
                </c:pt>
                <c:pt idx="31">
                  <c:v>398.43250852647429</c:v>
                </c:pt>
                <c:pt idx="32">
                  <c:v>256.41486482388382</c:v>
                </c:pt>
                <c:pt idx="33">
                  <c:v>123.5596497472668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4E9-4940-AFAA-3FE8635C7418}"/>
            </c:ext>
          </c:extLst>
        </c:ser>
        <c:ser>
          <c:idx val="1"/>
          <c:order val="1"/>
          <c:tx>
            <c:v>Status Quo</c:v>
          </c:tx>
          <c:marker>
            <c:symbol val="none"/>
          </c:marker>
          <c:xVal>
            <c:numRef>
              <c:f>'HB 61 Charts Helper'!$A$14:$A$75</c:f>
              <c:numCache>
                <c:formatCode>d\-mmm\-yy</c:formatCode>
                <c:ptCount val="62"/>
                <c:pt idx="0">
                  <c:v>42916</c:v>
                </c:pt>
                <c:pt idx="1">
                  <c:v>42931</c:v>
                </c:pt>
                <c:pt idx="2">
                  <c:v>42962</c:v>
                </c:pt>
                <c:pt idx="3">
                  <c:v>42993</c:v>
                </c:pt>
                <c:pt idx="4">
                  <c:v>43023</c:v>
                </c:pt>
                <c:pt idx="5">
                  <c:v>43054</c:v>
                </c:pt>
                <c:pt idx="6">
                  <c:v>43084</c:v>
                </c:pt>
                <c:pt idx="7">
                  <c:v>43115</c:v>
                </c:pt>
                <c:pt idx="8">
                  <c:v>43146</c:v>
                </c:pt>
                <c:pt idx="9">
                  <c:v>43174</c:v>
                </c:pt>
                <c:pt idx="10">
                  <c:v>43205</c:v>
                </c:pt>
                <c:pt idx="11">
                  <c:v>43235</c:v>
                </c:pt>
                <c:pt idx="12">
                  <c:v>43266</c:v>
                </c:pt>
                <c:pt idx="13">
                  <c:v>43296</c:v>
                </c:pt>
                <c:pt idx="14">
                  <c:v>43327</c:v>
                </c:pt>
                <c:pt idx="15">
                  <c:v>43358</c:v>
                </c:pt>
                <c:pt idx="16">
                  <c:v>43388</c:v>
                </c:pt>
                <c:pt idx="17">
                  <c:v>43419</c:v>
                </c:pt>
                <c:pt idx="18">
                  <c:v>43449</c:v>
                </c:pt>
                <c:pt idx="19">
                  <c:v>43480</c:v>
                </c:pt>
                <c:pt idx="20">
                  <c:v>43511</c:v>
                </c:pt>
                <c:pt idx="21">
                  <c:v>43539</c:v>
                </c:pt>
                <c:pt idx="22">
                  <c:v>43570</c:v>
                </c:pt>
                <c:pt idx="23">
                  <c:v>43600</c:v>
                </c:pt>
                <c:pt idx="24">
                  <c:v>43631</c:v>
                </c:pt>
                <c:pt idx="25">
                  <c:v>43661</c:v>
                </c:pt>
                <c:pt idx="26">
                  <c:v>43692</c:v>
                </c:pt>
                <c:pt idx="27">
                  <c:v>43723</c:v>
                </c:pt>
                <c:pt idx="28">
                  <c:v>43753</c:v>
                </c:pt>
                <c:pt idx="29">
                  <c:v>43784</c:v>
                </c:pt>
                <c:pt idx="30">
                  <c:v>43814</c:v>
                </c:pt>
                <c:pt idx="31">
                  <c:v>43845</c:v>
                </c:pt>
                <c:pt idx="32">
                  <c:v>43876</c:v>
                </c:pt>
                <c:pt idx="33">
                  <c:v>43905</c:v>
                </c:pt>
                <c:pt idx="34">
                  <c:v>43936</c:v>
                </c:pt>
                <c:pt idx="35">
                  <c:v>43966</c:v>
                </c:pt>
                <c:pt idx="36">
                  <c:v>43997</c:v>
                </c:pt>
                <c:pt idx="37">
                  <c:v>44027</c:v>
                </c:pt>
                <c:pt idx="38">
                  <c:v>44058</c:v>
                </c:pt>
                <c:pt idx="39">
                  <c:v>44089</c:v>
                </c:pt>
                <c:pt idx="40">
                  <c:v>44119</c:v>
                </c:pt>
                <c:pt idx="41">
                  <c:v>44150</c:v>
                </c:pt>
                <c:pt idx="42">
                  <c:v>44180</c:v>
                </c:pt>
                <c:pt idx="43">
                  <c:v>44211</c:v>
                </c:pt>
                <c:pt idx="44">
                  <c:v>44242</c:v>
                </c:pt>
                <c:pt idx="45">
                  <c:v>44270</c:v>
                </c:pt>
                <c:pt idx="46">
                  <c:v>44301</c:v>
                </c:pt>
                <c:pt idx="47">
                  <c:v>44331</c:v>
                </c:pt>
                <c:pt idx="48">
                  <c:v>44362</c:v>
                </c:pt>
                <c:pt idx="49">
                  <c:v>44392</c:v>
                </c:pt>
                <c:pt idx="50">
                  <c:v>44423</c:v>
                </c:pt>
                <c:pt idx="51">
                  <c:v>44454</c:v>
                </c:pt>
                <c:pt idx="52">
                  <c:v>44484</c:v>
                </c:pt>
                <c:pt idx="53">
                  <c:v>44515</c:v>
                </c:pt>
                <c:pt idx="54">
                  <c:v>44545</c:v>
                </c:pt>
                <c:pt idx="55">
                  <c:v>44576</c:v>
                </c:pt>
                <c:pt idx="56">
                  <c:v>44607</c:v>
                </c:pt>
                <c:pt idx="57">
                  <c:v>44635</c:v>
                </c:pt>
                <c:pt idx="58">
                  <c:v>44666</c:v>
                </c:pt>
                <c:pt idx="59">
                  <c:v>44696</c:v>
                </c:pt>
                <c:pt idx="60">
                  <c:v>44727</c:v>
                </c:pt>
                <c:pt idx="61">
                  <c:v>44742</c:v>
                </c:pt>
              </c:numCache>
            </c:numRef>
          </c:xVal>
          <c:yVal>
            <c:numRef>
              <c:f>'HB 61 Charts Helper'!$F$14:$F$75</c:f>
              <c:numCache>
                <c:formatCode>_(* #,##0_);_(* \(#,##0\);_(* "-"??_);_(@_)</c:formatCode>
                <c:ptCount val="62"/>
                <c:pt idx="0">
                  <c:v>6171.7926000000007</c:v>
                </c:pt>
                <c:pt idx="1">
                  <c:v>6032.391500800275</c:v>
                </c:pt>
                <c:pt idx="2">
                  <c:v>5744.2958957875071</c:v>
                </c:pt>
                <c:pt idx="3">
                  <c:v>5456.2002907747401</c:v>
                </c:pt>
                <c:pt idx="4">
                  <c:v>5177.3980923752879</c:v>
                </c:pt>
                <c:pt idx="5">
                  <c:v>4889.3024873625209</c:v>
                </c:pt>
                <c:pt idx="6">
                  <c:v>4610.5002889630687</c:v>
                </c:pt>
                <c:pt idx="7">
                  <c:v>4322.4046839503017</c:v>
                </c:pt>
                <c:pt idx="8">
                  <c:v>4034.3090789375347</c:v>
                </c:pt>
                <c:pt idx="9">
                  <c:v>3774.0936937647125</c:v>
                </c:pt>
                <c:pt idx="10">
                  <c:v>3485.9980887519455</c:v>
                </c:pt>
                <c:pt idx="11">
                  <c:v>3207.1958903524937</c:v>
                </c:pt>
                <c:pt idx="12">
                  <c:v>2919.1002853397263</c:v>
                </c:pt>
                <c:pt idx="13">
                  <c:v>2675.4160479131283</c:v>
                </c:pt>
                <c:pt idx="14">
                  <c:v>2459.897562244259</c:v>
                </c:pt>
                <c:pt idx="15">
                  <c:v>2244.3790765753902</c:v>
                </c:pt>
                <c:pt idx="16">
                  <c:v>2035.812800121646</c:v>
                </c:pt>
                <c:pt idx="17">
                  <c:v>1820.2943144527771</c:v>
                </c:pt>
                <c:pt idx="18">
                  <c:v>1611.7280379990329</c:v>
                </c:pt>
                <c:pt idx="19">
                  <c:v>1396.2095523301639</c:v>
                </c:pt>
                <c:pt idx="20">
                  <c:v>1180.6910666612951</c:v>
                </c:pt>
                <c:pt idx="21">
                  <c:v>986.02920863780037</c:v>
                </c:pt>
                <c:pt idx="22">
                  <c:v>770.51072296893153</c:v>
                </c:pt>
                <c:pt idx="23">
                  <c:v>561.94444651518734</c:v>
                </c:pt>
                <c:pt idx="24">
                  <c:v>346.4259608463185</c:v>
                </c:pt>
                <c:pt idx="25">
                  <c:v>140.19610130797076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4E9-4940-AFAA-3FE8635C7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8362240"/>
        <c:axId val="309013504"/>
      </c:scatterChart>
      <c:valAx>
        <c:axId val="308362240"/>
        <c:scaling>
          <c:orientation val="minMax"/>
          <c:max val="44742"/>
          <c:min val="42916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&quot;30-&quot;mmm\-yy" sourceLinked="0"/>
        <c:majorTickMark val="out"/>
        <c:minorTickMark val="none"/>
        <c:tickLblPos val="nextTo"/>
        <c:crossAx val="309013504"/>
        <c:crosses val="autoZero"/>
        <c:crossBetween val="midCat"/>
        <c:majorUnit val="365"/>
      </c:valAx>
      <c:valAx>
        <c:axId val="309013504"/>
        <c:scaling>
          <c:orientation val="minMax"/>
          <c:max val="9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$ billions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308362240"/>
        <c:crosses val="autoZero"/>
        <c:crossBetween val="midCat"/>
        <c:dispUnits>
          <c:builtInUnit val="thousands"/>
        </c:dispUnits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Permanent Fund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With Solutions</c:v>
          </c:tx>
          <c:marker>
            <c:symbol val="none"/>
          </c:marker>
          <c:xVal>
            <c:numRef>
              <c:f>'HB 61 Charts Helper'!$A$4:$F$4</c:f>
              <c:numCache>
                <c:formatCode>d\-mmm\-yy</c:formatCode>
                <c:ptCount val="6"/>
                <c:pt idx="0">
                  <c:v>42916</c:v>
                </c:pt>
                <c:pt idx="1">
                  <c:v>43281</c:v>
                </c:pt>
                <c:pt idx="2">
                  <c:v>43646</c:v>
                </c:pt>
                <c:pt idx="3">
                  <c:v>44012</c:v>
                </c:pt>
                <c:pt idx="4">
                  <c:v>44377</c:v>
                </c:pt>
                <c:pt idx="5">
                  <c:v>44742</c:v>
                </c:pt>
              </c:numCache>
            </c:numRef>
          </c:xVal>
          <c:yVal>
            <c:numRef>
              <c:f>Generic!$B$50:$G$50</c:f>
              <c:numCache>
                <c:formatCode>#,##0_);[Red]\(#,##0\)</c:formatCode>
                <c:ptCount val="6"/>
                <c:pt idx="0">
                  <c:v>56484.371347073997</c:v>
                </c:pt>
                <c:pt idx="1">
                  <c:v>59057.187646130886</c:v>
                </c:pt>
                <c:pt idx="2">
                  <c:v>61786.298702676024</c:v>
                </c:pt>
                <c:pt idx="3">
                  <c:v>64348.681398470733</c:v>
                </c:pt>
                <c:pt idx="4">
                  <c:v>65848.366599990346</c:v>
                </c:pt>
                <c:pt idx="5">
                  <c:v>67430.187965384612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E51-43E7-B4B2-8052D682A1FC}"/>
            </c:ext>
          </c:extLst>
        </c:ser>
        <c:ser>
          <c:idx val="1"/>
          <c:order val="1"/>
          <c:tx>
            <c:v>Status Quo</c:v>
          </c:tx>
          <c:marker>
            <c:symbol val="none"/>
          </c:marker>
          <c:xVal>
            <c:numRef>
              <c:f>'HB 61 Charts Helper'!$A$4:$F$4</c:f>
              <c:numCache>
                <c:formatCode>d\-mmm\-yy</c:formatCode>
                <c:ptCount val="6"/>
                <c:pt idx="0">
                  <c:v>42916</c:v>
                </c:pt>
                <c:pt idx="1">
                  <c:v>43281</c:v>
                </c:pt>
                <c:pt idx="2">
                  <c:v>43646</c:v>
                </c:pt>
                <c:pt idx="3">
                  <c:v>44012</c:v>
                </c:pt>
                <c:pt idx="4">
                  <c:v>44377</c:v>
                </c:pt>
                <c:pt idx="5">
                  <c:v>44742</c:v>
                </c:pt>
              </c:numCache>
            </c:numRef>
          </c:xVal>
          <c:yVal>
            <c:numRef>
              <c:f>Generic!$B$51:$G$51</c:f>
              <c:numCache>
                <c:formatCode>#,##0_);[Red]\(#,##0\)</c:formatCode>
                <c:ptCount val="6"/>
                <c:pt idx="0">
                  <c:v>56484.371347073997</c:v>
                </c:pt>
                <c:pt idx="1">
                  <c:v>59057.187646130886</c:v>
                </c:pt>
                <c:pt idx="2">
                  <c:v>61786.298702676024</c:v>
                </c:pt>
                <c:pt idx="3">
                  <c:v>62469.954502832501</c:v>
                </c:pt>
                <c:pt idx="4">
                  <c:v>62869.258320105262</c:v>
                </c:pt>
                <c:pt idx="5">
                  <c:v>63122.681706917727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E51-43E7-B4B2-8052D682A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9408128"/>
        <c:axId val="309411200"/>
      </c:scatterChart>
      <c:valAx>
        <c:axId val="309408128"/>
        <c:scaling>
          <c:orientation val="minMax"/>
          <c:max val="44742"/>
          <c:min val="42916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&quot;30-&quot;mmm\-yy" sourceLinked="0"/>
        <c:majorTickMark val="out"/>
        <c:minorTickMark val="none"/>
        <c:tickLblPos val="nextTo"/>
        <c:crossAx val="309411200"/>
        <c:crosses val="autoZero"/>
        <c:crossBetween val="midCat"/>
        <c:majorUnit val="365"/>
      </c:valAx>
      <c:valAx>
        <c:axId val="309411200"/>
        <c:scaling>
          <c:orientation val="minMax"/>
          <c:max val="70000"/>
          <c:min val="4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$ billions</a:t>
                </a:r>
              </a:p>
            </c:rich>
          </c:tx>
          <c:overlay val="0"/>
        </c:title>
        <c:numFmt formatCode="#,##0_);[Red]\(#,##0\)" sourceLinked="1"/>
        <c:majorTickMark val="out"/>
        <c:minorTickMark val="none"/>
        <c:tickLblPos val="nextTo"/>
        <c:crossAx val="309408128"/>
        <c:crosses val="autoZero"/>
        <c:crossBetween val="midCat"/>
        <c:dispUnits>
          <c:builtInUnit val="thousands"/>
        </c:dispUnits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Permanent</a:t>
            </a:r>
            <a:r>
              <a:rPr lang="en-US" baseline="0"/>
              <a:t> Fund</a:t>
            </a:r>
            <a:r>
              <a:rPr lang="en-US"/>
              <a:t> Earnings Reserve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With Solutions</c:v>
          </c:tx>
          <c:marker>
            <c:symbol val="none"/>
          </c:marker>
          <c:xVal>
            <c:numRef>
              <c:f>'Generic Charts Helper'!$A$11:$A$72</c:f>
              <c:numCache>
                <c:formatCode>d\-mmm\-yy</c:formatCode>
                <c:ptCount val="62"/>
                <c:pt idx="0">
                  <c:v>42916</c:v>
                </c:pt>
                <c:pt idx="1">
                  <c:v>42931</c:v>
                </c:pt>
                <c:pt idx="2">
                  <c:v>42962</c:v>
                </c:pt>
                <c:pt idx="3">
                  <c:v>42993</c:v>
                </c:pt>
                <c:pt idx="4">
                  <c:v>43023</c:v>
                </c:pt>
                <c:pt idx="5">
                  <c:v>43054</c:v>
                </c:pt>
                <c:pt idx="6">
                  <c:v>43084</c:v>
                </c:pt>
                <c:pt idx="7">
                  <c:v>43115</c:v>
                </c:pt>
                <c:pt idx="8">
                  <c:v>43146</c:v>
                </c:pt>
                <c:pt idx="9">
                  <c:v>43174</c:v>
                </c:pt>
                <c:pt idx="10">
                  <c:v>43205</c:v>
                </c:pt>
                <c:pt idx="11">
                  <c:v>43235</c:v>
                </c:pt>
                <c:pt idx="12">
                  <c:v>43266</c:v>
                </c:pt>
                <c:pt idx="13">
                  <c:v>43296</c:v>
                </c:pt>
                <c:pt idx="14">
                  <c:v>43327</c:v>
                </c:pt>
                <c:pt idx="15">
                  <c:v>43358</c:v>
                </c:pt>
                <c:pt idx="16">
                  <c:v>43388</c:v>
                </c:pt>
                <c:pt idx="17">
                  <c:v>43419</c:v>
                </c:pt>
                <c:pt idx="18">
                  <c:v>43449</c:v>
                </c:pt>
                <c:pt idx="19">
                  <c:v>43480</c:v>
                </c:pt>
                <c:pt idx="20">
                  <c:v>43511</c:v>
                </c:pt>
                <c:pt idx="21">
                  <c:v>43539</c:v>
                </c:pt>
                <c:pt idx="22">
                  <c:v>43570</c:v>
                </c:pt>
                <c:pt idx="23">
                  <c:v>43600</c:v>
                </c:pt>
                <c:pt idx="24">
                  <c:v>43631</c:v>
                </c:pt>
                <c:pt idx="25">
                  <c:v>43661</c:v>
                </c:pt>
                <c:pt idx="26">
                  <c:v>43692</c:v>
                </c:pt>
                <c:pt idx="27">
                  <c:v>43723</c:v>
                </c:pt>
                <c:pt idx="28">
                  <c:v>43753</c:v>
                </c:pt>
                <c:pt idx="29">
                  <c:v>43784</c:v>
                </c:pt>
                <c:pt idx="30">
                  <c:v>43814</c:v>
                </c:pt>
                <c:pt idx="31">
                  <c:v>43845</c:v>
                </c:pt>
                <c:pt idx="32">
                  <c:v>43876</c:v>
                </c:pt>
                <c:pt idx="33">
                  <c:v>43905</c:v>
                </c:pt>
                <c:pt idx="34">
                  <c:v>43936</c:v>
                </c:pt>
                <c:pt idx="35">
                  <c:v>43966</c:v>
                </c:pt>
                <c:pt idx="36">
                  <c:v>43997</c:v>
                </c:pt>
                <c:pt idx="37">
                  <c:v>44027</c:v>
                </c:pt>
                <c:pt idx="38">
                  <c:v>44058</c:v>
                </c:pt>
                <c:pt idx="39">
                  <c:v>44089</c:v>
                </c:pt>
                <c:pt idx="40">
                  <c:v>44119</c:v>
                </c:pt>
                <c:pt idx="41">
                  <c:v>44150</c:v>
                </c:pt>
                <c:pt idx="42">
                  <c:v>44180</c:v>
                </c:pt>
                <c:pt idx="43">
                  <c:v>44211</c:v>
                </c:pt>
                <c:pt idx="44">
                  <c:v>44242</c:v>
                </c:pt>
                <c:pt idx="45">
                  <c:v>44270</c:v>
                </c:pt>
                <c:pt idx="46">
                  <c:v>44301</c:v>
                </c:pt>
                <c:pt idx="47">
                  <c:v>44331</c:v>
                </c:pt>
                <c:pt idx="48">
                  <c:v>44362</c:v>
                </c:pt>
                <c:pt idx="49">
                  <c:v>44392</c:v>
                </c:pt>
                <c:pt idx="50">
                  <c:v>44423</c:v>
                </c:pt>
                <c:pt idx="51">
                  <c:v>44454</c:v>
                </c:pt>
                <c:pt idx="52">
                  <c:v>44484</c:v>
                </c:pt>
                <c:pt idx="53">
                  <c:v>44515</c:v>
                </c:pt>
                <c:pt idx="54">
                  <c:v>44545</c:v>
                </c:pt>
                <c:pt idx="55">
                  <c:v>44576</c:v>
                </c:pt>
                <c:pt idx="56">
                  <c:v>44607</c:v>
                </c:pt>
                <c:pt idx="57">
                  <c:v>44635</c:v>
                </c:pt>
                <c:pt idx="58">
                  <c:v>44666</c:v>
                </c:pt>
                <c:pt idx="59">
                  <c:v>44696</c:v>
                </c:pt>
                <c:pt idx="60">
                  <c:v>44727</c:v>
                </c:pt>
                <c:pt idx="61">
                  <c:v>44742</c:v>
                </c:pt>
              </c:numCache>
            </c:numRef>
          </c:xVal>
          <c:yVal>
            <c:numRef>
              <c:f>'Generic Charts Helper'!$I$11:$I$72</c:f>
              <c:numCache>
                <c:formatCode>_(* #,##0_);_(* \(#,##0\);_(* "-"??_);_(@_)</c:formatCode>
                <c:ptCount val="62"/>
                <c:pt idx="0">
                  <c:v>11670.469051503305</c:v>
                </c:pt>
                <c:pt idx="1">
                  <c:v>11717.121374616017</c:v>
                </c:pt>
                <c:pt idx="2">
                  <c:v>11813.536175715624</c:v>
                </c:pt>
                <c:pt idx="3">
                  <c:v>11909.950976815231</c:v>
                </c:pt>
                <c:pt idx="4">
                  <c:v>12003.255623040657</c:v>
                </c:pt>
                <c:pt idx="5">
                  <c:v>12099.670424140264</c:v>
                </c:pt>
                <c:pt idx="6">
                  <c:v>12192.97507036569</c:v>
                </c:pt>
                <c:pt idx="7">
                  <c:v>12289.389871465297</c:v>
                </c:pt>
                <c:pt idx="8">
                  <c:v>12385.804672564904</c:v>
                </c:pt>
                <c:pt idx="9">
                  <c:v>12472.889009041968</c:v>
                </c:pt>
                <c:pt idx="10">
                  <c:v>12569.303810141573</c:v>
                </c:pt>
                <c:pt idx="11">
                  <c:v>12662.608456366999</c:v>
                </c:pt>
                <c:pt idx="12">
                  <c:v>12759.023257466606</c:v>
                </c:pt>
                <c:pt idx="13">
                  <c:v>12856.238567607981</c:v>
                </c:pt>
                <c:pt idx="14">
                  <c:v>12960.735407467213</c:v>
                </c:pt>
                <c:pt idx="15">
                  <c:v>13065.232247326447</c:v>
                </c:pt>
                <c:pt idx="16">
                  <c:v>13166.358221383769</c:v>
                </c:pt>
                <c:pt idx="17">
                  <c:v>13270.855061243001</c:v>
                </c:pt>
                <c:pt idx="18">
                  <c:v>13371.981035300323</c:v>
                </c:pt>
                <c:pt idx="19">
                  <c:v>13476.477875159555</c:v>
                </c:pt>
                <c:pt idx="20">
                  <c:v>13580.974715018789</c:v>
                </c:pt>
                <c:pt idx="21">
                  <c:v>13675.358957472288</c:v>
                </c:pt>
                <c:pt idx="22">
                  <c:v>13779.855797331522</c:v>
                </c:pt>
                <c:pt idx="23">
                  <c:v>13880.981771388844</c:v>
                </c:pt>
                <c:pt idx="24">
                  <c:v>13985.478611248076</c:v>
                </c:pt>
                <c:pt idx="25">
                  <c:v>14076.33216051113</c:v>
                </c:pt>
                <c:pt idx="26">
                  <c:v>14159.599322462211</c:v>
                </c:pt>
                <c:pt idx="27">
                  <c:v>14242.866484413289</c:v>
                </c:pt>
                <c:pt idx="28">
                  <c:v>14323.447608882076</c:v>
                </c:pt>
                <c:pt idx="29">
                  <c:v>14406.714770833156</c:v>
                </c:pt>
                <c:pt idx="30">
                  <c:v>14487.295895301942</c:v>
                </c:pt>
                <c:pt idx="31">
                  <c:v>14570.563057253021</c:v>
                </c:pt>
                <c:pt idx="32">
                  <c:v>14653.830219204101</c:v>
                </c:pt>
                <c:pt idx="33">
                  <c:v>14731.725306190594</c:v>
                </c:pt>
                <c:pt idx="34">
                  <c:v>14814.992468141674</c:v>
                </c:pt>
                <c:pt idx="35">
                  <c:v>14895.573592610461</c:v>
                </c:pt>
                <c:pt idx="36">
                  <c:v>14978.840754561541</c:v>
                </c:pt>
                <c:pt idx="37">
                  <c:v>15008.578426197326</c:v>
                </c:pt>
                <c:pt idx="38">
                  <c:v>14986.769118960199</c:v>
                </c:pt>
                <c:pt idx="39">
                  <c:v>14964.959811723074</c:v>
                </c:pt>
                <c:pt idx="40">
                  <c:v>14943.854030525856</c:v>
                </c:pt>
                <c:pt idx="41">
                  <c:v>14922.044723288729</c:v>
                </c:pt>
                <c:pt idx="42">
                  <c:v>14900.93894209151</c:v>
                </c:pt>
                <c:pt idx="43">
                  <c:v>14879.129634854386</c:v>
                </c:pt>
                <c:pt idx="44">
                  <c:v>14857.320327617261</c:v>
                </c:pt>
                <c:pt idx="45">
                  <c:v>14837.621598499856</c:v>
                </c:pt>
                <c:pt idx="46">
                  <c:v>14815.81229126273</c:v>
                </c:pt>
                <c:pt idx="47">
                  <c:v>14794.706510065513</c:v>
                </c:pt>
                <c:pt idx="48">
                  <c:v>14772.897202828386</c:v>
                </c:pt>
                <c:pt idx="49">
                  <c:v>14753.29603831768</c:v>
                </c:pt>
                <c:pt idx="50">
                  <c:v>14734.596272232679</c:v>
                </c:pt>
                <c:pt idx="51">
                  <c:v>14715.896506147676</c:v>
                </c:pt>
                <c:pt idx="52">
                  <c:v>14697.79995832348</c:v>
                </c:pt>
                <c:pt idx="53">
                  <c:v>14679.100192238478</c:v>
                </c:pt>
                <c:pt idx="54">
                  <c:v>14661.003644414282</c:v>
                </c:pt>
                <c:pt idx="55">
                  <c:v>14642.303878329281</c:v>
                </c:pt>
                <c:pt idx="56">
                  <c:v>14623.604112244278</c:v>
                </c:pt>
                <c:pt idx="57">
                  <c:v>14606.714000941696</c:v>
                </c:pt>
                <c:pt idx="58">
                  <c:v>14588.014234856693</c:v>
                </c:pt>
                <c:pt idx="59">
                  <c:v>14569.917687032499</c:v>
                </c:pt>
                <c:pt idx="60">
                  <c:v>14551.217920947496</c:v>
                </c:pt>
                <c:pt idx="61">
                  <c:v>14542.169647035398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9A-47D8-B628-3622B2658A0F}"/>
            </c:ext>
          </c:extLst>
        </c:ser>
        <c:ser>
          <c:idx val="1"/>
          <c:order val="1"/>
          <c:tx>
            <c:v>Status Quo</c:v>
          </c:tx>
          <c:marker>
            <c:symbol val="none"/>
          </c:marker>
          <c:xVal>
            <c:numRef>
              <c:f>'HB 61 Charts Helper'!$A$14:$A$75</c:f>
              <c:numCache>
                <c:formatCode>d\-mmm\-yy</c:formatCode>
                <c:ptCount val="62"/>
                <c:pt idx="0">
                  <c:v>42916</c:v>
                </c:pt>
                <c:pt idx="1">
                  <c:v>42931</c:v>
                </c:pt>
                <c:pt idx="2">
                  <c:v>42962</c:v>
                </c:pt>
                <c:pt idx="3">
                  <c:v>42993</c:v>
                </c:pt>
                <c:pt idx="4">
                  <c:v>43023</c:v>
                </c:pt>
                <c:pt idx="5">
                  <c:v>43054</c:v>
                </c:pt>
                <c:pt idx="6">
                  <c:v>43084</c:v>
                </c:pt>
                <c:pt idx="7">
                  <c:v>43115</c:v>
                </c:pt>
                <c:pt idx="8">
                  <c:v>43146</c:v>
                </c:pt>
                <c:pt idx="9">
                  <c:v>43174</c:v>
                </c:pt>
                <c:pt idx="10">
                  <c:v>43205</c:v>
                </c:pt>
                <c:pt idx="11">
                  <c:v>43235</c:v>
                </c:pt>
                <c:pt idx="12">
                  <c:v>43266</c:v>
                </c:pt>
                <c:pt idx="13">
                  <c:v>43296</c:v>
                </c:pt>
                <c:pt idx="14">
                  <c:v>43327</c:v>
                </c:pt>
                <c:pt idx="15">
                  <c:v>43358</c:v>
                </c:pt>
                <c:pt idx="16">
                  <c:v>43388</c:v>
                </c:pt>
                <c:pt idx="17">
                  <c:v>43419</c:v>
                </c:pt>
                <c:pt idx="18">
                  <c:v>43449</c:v>
                </c:pt>
                <c:pt idx="19">
                  <c:v>43480</c:v>
                </c:pt>
                <c:pt idx="20">
                  <c:v>43511</c:v>
                </c:pt>
                <c:pt idx="21">
                  <c:v>43539</c:v>
                </c:pt>
                <c:pt idx="22">
                  <c:v>43570</c:v>
                </c:pt>
                <c:pt idx="23">
                  <c:v>43600</c:v>
                </c:pt>
                <c:pt idx="24">
                  <c:v>43631</c:v>
                </c:pt>
                <c:pt idx="25">
                  <c:v>43661</c:v>
                </c:pt>
                <c:pt idx="26">
                  <c:v>43692</c:v>
                </c:pt>
                <c:pt idx="27">
                  <c:v>43723</c:v>
                </c:pt>
                <c:pt idx="28">
                  <c:v>43753</c:v>
                </c:pt>
                <c:pt idx="29">
                  <c:v>43784</c:v>
                </c:pt>
                <c:pt idx="30">
                  <c:v>43814</c:v>
                </c:pt>
                <c:pt idx="31">
                  <c:v>43845</c:v>
                </c:pt>
                <c:pt idx="32">
                  <c:v>43876</c:v>
                </c:pt>
                <c:pt idx="33">
                  <c:v>43905</c:v>
                </c:pt>
                <c:pt idx="34">
                  <c:v>43936</c:v>
                </c:pt>
                <c:pt idx="35">
                  <c:v>43966</c:v>
                </c:pt>
                <c:pt idx="36">
                  <c:v>43997</c:v>
                </c:pt>
                <c:pt idx="37">
                  <c:v>44027</c:v>
                </c:pt>
                <c:pt idx="38">
                  <c:v>44058</c:v>
                </c:pt>
                <c:pt idx="39">
                  <c:v>44089</c:v>
                </c:pt>
                <c:pt idx="40">
                  <c:v>44119</c:v>
                </c:pt>
                <c:pt idx="41">
                  <c:v>44150</c:v>
                </c:pt>
                <c:pt idx="42">
                  <c:v>44180</c:v>
                </c:pt>
                <c:pt idx="43">
                  <c:v>44211</c:v>
                </c:pt>
                <c:pt idx="44">
                  <c:v>44242</c:v>
                </c:pt>
                <c:pt idx="45">
                  <c:v>44270</c:v>
                </c:pt>
                <c:pt idx="46">
                  <c:v>44301</c:v>
                </c:pt>
                <c:pt idx="47">
                  <c:v>44331</c:v>
                </c:pt>
                <c:pt idx="48">
                  <c:v>44362</c:v>
                </c:pt>
                <c:pt idx="49">
                  <c:v>44392</c:v>
                </c:pt>
                <c:pt idx="50">
                  <c:v>44423</c:v>
                </c:pt>
                <c:pt idx="51">
                  <c:v>44454</c:v>
                </c:pt>
                <c:pt idx="52">
                  <c:v>44484</c:v>
                </c:pt>
                <c:pt idx="53">
                  <c:v>44515</c:v>
                </c:pt>
                <c:pt idx="54">
                  <c:v>44545</c:v>
                </c:pt>
                <c:pt idx="55">
                  <c:v>44576</c:v>
                </c:pt>
                <c:pt idx="56">
                  <c:v>44607</c:v>
                </c:pt>
                <c:pt idx="57">
                  <c:v>44635</c:v>
                </c:pt>
                <c:pt idx="58">
                  <c:v>44666</c:v>
                </c:pt>
                <c:pt idx="59">
                  <c:v>44696</c:v>
                </c:pt>
                <c:pt idx="60">
                  <c:v>44727</c:v>
                </c:pt>
                <c:pt idx="61">
                  <c:v>44742</c:v>
                </c:pt>
              </c:numCache>
            </c:numRef>
          </c:xVal>
          <c:yVal>
            <c:numRef>
              <c:f>'HB 61 Charts Helper'!$O$14:$O$75</c:f>
              <c:numCache>
                <c:formatCode>_(* #,##0_);_(* \(#,##0\);_(* "-"??_);_(@_)</c:formatCode>
                <c:ptCount val="62"/>
                <c:pt idx="0">
                  <c:v>11670.469051503305</c:v>
                </c:pt>
                <c:pt idx="1">
                  <c:v>11717.121374616017</c:v>
                </c:pt>
                <c:pt idx="2">
                  <c:v>11813.536175715624</c:v>
                </c:pt>
                <c:pt idx="3">
                  <c:v>11909.950976815231</c:v>
                </c:pt>
                <c:pt idx="4">
                  <c:v>12003.255623040657</c:v>
                </c:pt>
                <c:pt idx="5">
                  <c:v>12099.670424140264</c:v>
                </c:pt>
                <c:pt idx="6">
                  <c:v>12192.97507036569</c:v>
                </c:pt>
                <c:pt idx="7">
                  <c:v>12289.389871465297</c:v>
                </c:pt>
                <c:pt idx="8">
                  <c:v>12385.804672564904</c:v>
                </c:pt>
                <c:pt idx="9">
                  <c:v>12472.889009041968</c:v>
                </c:pt>
                <c:pt idx="10">
                  <c:v>12569.303810141573</c:v>
                </c:pt>
                <c:pt idx="11">
                  <c:v>12662.608456366999</c:v>
                </c:pt>
                <c:pt idx="12">
                  <c:v>12759.023257466606</c:v>
                </c:pt>
                <c:pt idx="13">
                  <c:v>12856.238567607981</c:v>
                </c:pt>
                <c:pt idx="14">
                  <c:v>12960.735407467213</c:v>
                </c:pt>
                <c:pt idx="15">
                  <c:v>13065.232247326447</c:v>
                </c:pt>
                <c:pt idx="16">
                  <c:v>13166.358221383769</c:v>
                </c:pt>
                <c:pt idx="17">
                  <c:v>13270.855061243001</c:v>
                </c:pt>
                <c:pt idx="18">
                  <c:v>13371.981035300323</c:v>
                </c:pt>
                <c:pt idx="19">
                  <c:v>13476.477875159555</c:v>
                </c:pt>
                <c:pt idx="20">
                  <c:v>13580.974715018789</c:v>
                </c:pt>
                <c:pt idx="21">
                  <c:v>13675.358957472288</c:v>
                </c:pt>
                <c:pt idx="22">
                  <c:v>13779.855797331522</c:v>
                </c:pt>
                <c:pt idx="23">
                  <c:v>13880.981771388844</c:v>
                </c:pt>
                <c:pt idx="24">
                  <c:v>13985.478611248076</c:v>
                </c:pt>
                <c:pt idx="25">
                  <c:v>13991.153843611557</c:v>
                </c:pt>
                <c:pt idx="26">
                  <c:v>13898.385817303517</c:v>
                </c:pt>
                <c:pt idx="27">
                  <c:v>13805.617790995479</c:v>
                </c:pt>
                <c:pt idx="28">
                  <c:v>13715.842281665116</c:v>
                </c:pt>
                <c:pt idx="29">
                  <c:v>13623.074255357078</c:v>
                </c:pt>
                <c:pt idx="30">
                  <c:v>13533.298746026716</c:v>
                </c:pt>
                <c:pt idx="31">
                  <c:v>13440.530719718678</c:v>
                </c:pt>
                <c:pt idx="32">
                  <c:v>13347.762693410637</c:v>
                </c:pt>
                <c:pt idx="33">
                  <c:v>13260.979701057955</c:v>
                </c:pt>
                <c:pt idx="34">
                  <c:v>13168.211674749915</c:v>
                </c:pt>
                <c:pt idx="35">
                  <c:v>13078.436165419555</c:v>
                </c:pt>
                <c:pt idx="36">
                  <c:v>12985.668139111516</c:v>
                </c:pt>
                <c:pt idx="37">
                  <c:v>12879.750886627115</c:v>
                </c:pt>
                <c:pt idx="38">
                  <c:v>12753.623257800728</c:v>
                </c:pt>
                <c:pt idx="39">
                  <c:v>12627.495628974342</c:v>
                </c:pt>
                <c:pt idx="40">
                  <c:v>12505.436633335903</c:v>
                </c:pt>
                <c:pt idx="41">
                  <c:v>12379.309004509516</c:v>
                </c:pt>
                <c:pt idx="42">
                  <c:v>12257.250008871079</c:v>
                </c:pt>
                <c:pt idx="43">
                  <c:v>12131.122380044691</c:v>
                </c:pt>
                <c:pt idx="44">
                  <c:v>12004.994751218306</c:v>
                </c:pt>
                <c:pt idx="45">
                  <c:v>11891.073021955763</c:v>
                </c:pt>
                <c:pt idx="46">
                  <c:v>11764.945393129376</c:v>
                </c:pt>
                <c:pt idx="47">
                  <c:v>11642.886397490938</c:v>
                </c:pt>
                <c:pt idx="48">
                  <c:v>11516.758768664551</c:v>
                </c:pt>
                <c:pt idx="49">
                  <c:v>11385.235193736542</c:v>
                </c:pt>
                <c:pt idx="50">
                  <c:v>11239.547434378379</c:v>
                </c:pt>
                <c:pt idx="51">
                  <c:v>11093.859675020214</c:v>
                </c:pt>
                <c:pt idx="52">
                  <c:v>10952.871520802637</c:v>
                </c:pt>
                <c:pt idx="53">
                  <c:v>10807.183761444472</c:v>
                </c:pt>
                <c:pt idx="54">
                  <c:v>10666.195607226895</c:v>
                </c:pt>
                <c:pt idx="55">
                  <c:v>10520.50784786873</c:v>
                </c:pt>
                <c:pt idx="56">
                  <c:v>10374.820088510565</c:v>
                </c:pt>
                <c:pt idx="57">
                  <c:v>10243.23114457416</c:v>
                </c:pt>
                <c:pt idx="58">
                  <c:v>10097.543385215995</c:v>
                </c:pt>
                <c:pt idx="59">
                  <c:v>9956.5552309984178</c:v>
                </c:pt>
                <c:pt idx="60">
                  <c:v>9810.8674716402529</c:v>
                </c:pt>
                <c:pt idx="61">
                  <c:v>9740.3733945314652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89A-47D8-B628-3622B2658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881792"/>
        <c:axId val="362884096"/>
      </c:scatterChart>
      <c:valAx>
        <c:axId val="362881792"/>
        <c:scaling>
          <c:orientation val="minMax"/>
          <c:max val="44742"/>
          <c:min val="42916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&quot;30-&quot;mmm\-yy" sourceLinked="0"/>
        <c:majorTickMark val="out"/>
        <c:minorTickMark val="none"/>
        <c:tickLblPos val="nextTo"/>
        <c:crossAx val="362884096"/>
        <c:crosses val="autoZero"/>
        <c:crossBetween val="midCat"/>
        <c:majorUnit val="365"/>
      </c:valAx>
      <c:valAx>
        <c:axId val="362884096"/>
        <c:scaling>
          <c:orientation val="minMax"/>
          <c:max val="2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$ billions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362881792"/>
        <c:crosses val="autoZero"/>
        <c:crossBetween val="midCat"/>
        <c:dispUnits>
          <c:builtInUnit val="thousands"/>
        </c:dispUnits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Dividend Check Forecast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With Solutions</c:v>
          </c:tx>
          <c:spPr>
            <a:ln>
              <a:solidFill>
                <a:srgbClr val="0070C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'HB61'!$C$106:$G$106</c:f>
              <c:numCache>
                <c:formatCode>[$-409]mmm\-yyyy;@</c:formatCode>
                <c:ptCount val="5"/>
                <c:pt idx="0">
                  <c:v>43009</c:v>
                </c:pt>
                <c:pt idx="1">
                  <c:v>43374</c:v>
                </c:pt>
                <c:pt idx="2">
                  <c:v>43739</c:v>
                </c:pt>
                <c:pt idx="3">
                  <c:v>44105</c:v>
                </c:pt>
                <c:pt idx="4">
                  <c:v>44470</c:v>
                </c:pt>
              </c:numCache>
            </c:numRef>
          </c:cat>
          <c:val>
            <c:numRef>
              <c:f>Generic!$C$57:$G$57</c:f>
              <c:numCache>
                <c:formatCode>#,##0_);[Red]\(#,##0\)</c:formatCode>
                <c:ptCount val="5"/>
                <c:pt idx="0">
                  <c:v>2240.4135886896033</c:v>
                </c:pt>
                <c:pt idx="1">
                  <c:v>2293.4589332172404</c:v>
                </c:pt>
                <c:pt idx="2">
                  <c:v>2275.760482349207</c:v>
                </c:pt>
                <c:pt idx="3">
                  <c:v>2380.838917196153</c:v>
                </c:pt>
                <c:pt idx="4">
                  <c:v>2617.0325202952199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6A-493C-A9C0-2F8024666252}"/>
            </c:ext>
          </c:extLst>
        </c:ser>
        <c:ser>
          <c:idx val="1"/>
          <c:order val="1"/>
          <c:tx>
            <c:v>Status Quo</c:v>
          </c:tx>
          <c:spPr>
            <a:ln>
              <a:solidFill>
                <a:srgbClr val="C00000"/>
              </a:solidFill>
            </a:ln>
          </c:spPr>
          <c:invertIfNegative val="0"/>
          <c:dPt>
            <c:idx val="3"/>
            <c:invertIfNegative val="0"/>
            <c:bubble3D val="0"/>
            <c:spPr>
              <a:noFill/>
              <a:ln w="254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D36A-493C-A9C0-2F8024666252}"/>
              </c:ext>
            </c:extLst>
          </c:dPt>
          <c:dPt>
            <c:idx val="4"/>
            <c:invertIfNegative val="0"/>
            <c:bubble3D val="0"/>
            <c:spPr>
              <a:noFill/>
              <a:ln w="254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D36A-493C-A9C0-2F8024666252}"/>
              </c:ext>
            </c:extLst>
          </c:dPt>
          <c:cat>
            <c:numRef>
              <c:f>'HB61'!$C$106:$G$106</c:f>
              <c:numCache>
                <c:formatCode>[$-409]mmm\-yyyy;@</c:formatCode>
                <c:ptCount val="5"/>
                <c:pt idx="0">
                  <c:v>43009</c:v>
                </c:pt>
                <c:pt idx="1">
                  <c:v>43374</c:v>
                </c:pt>
                <c:pt idx="2">
                  <c:v>43739</c:v>
                </c:pt>
                <c:pt idx="3">
                  <c:v>44105</c:v>
                </c:pt>
                <c:pt idx="4">
                  <c:v>44470</c:v>
                </c:pt>
              </c:numCache>
            </c:numRef>
          </c:cat>
          <c:val>
            <c:numRef>
              <c:f>'HB61'!$C$108:$G$108</c:f>
              <c:numCache>
                <c:formatCode>#,##0_);[Red]\(#,##0\)</c:formatCode>
                <c:ptCount val="5"/>
                <c:pt idx="0">
                  <c:v>2240.4135886896033</c:v>
                </c:pt>
                <c:pt idx="1">
                  <c:v>2293.4589332172404</c:v>
                </c:pt>
                <c:pt idx="2">
                  <c:v>2275.760482349207</c:v>
                </c:pt>
                <c:pt idx="3">
                  <c:v>2380.838917196153</c:v>
                </c:pt>
                <c:pt idx="4">
                  <c:v>2599.0175137051265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6A-493C-A9C0-2F8024666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955008"/>
        <c:axId val="370956544"/>
      </c:barChart>
      <c:catAx>
        <c:axId val="370955008"/>
        <c:scaling>
          <c:orientation val="minMax"/>
        </c:scaling>
        <c:delete val="0"/>
        <c:axPos val="b"/>
        <c:numFmt formatCode="[$-409]mmm\-yyyy;@" sourceLinked="1"/>
        <c:majorTickMark val="out"/>
        <c:minorTickMark val="none"/>
        <c:tickLblPos val="nextTo"/>
        <c:crossAx val="370956544"/>
        <c:crosses val="autoZero"/>
        <c:auto val="0"/>
        <c:lblAlgn val="ctr"/>
        <c:lblOffset val="100"/>
        <c:noMultiLvlLbl val="0"/>
      </c:catAx>
      <c:valAx>
        <c:axId val="37095654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$ per Recipient</a:t>
                </a:r>
              </a:p>
            </c:rich>
          </c:tx>
          <c:overlay val="0"/>
        </c:title>
        <c:numFmt formatCode="&quot;$&quot;#,##0_);\(&quot;$&quot;#,##0\)" sourceLinked="0"/>
        <c:majorTickMark val="out"/>
        <c:minorTickMark val="none"/>
        <c:tickLblPos val="nextTo"/>
        <c:crossAx val="37095500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baseline="0"/>
              <a:t>Permanent Fund Balance (year-end)</a:t>
            </a:r>
            <a:endParaRPr lang="en-US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'POMV vs Distrib Income'!$A$48:$A$58</c:f>
              <c:numCache>
                <c:formatCode>General</c:formatCode>
                <c:ptCount val="1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</c:numCache>
            </c:numRef>
          </c:cat>
          <c:val>
            <c:numRef>
              <c:f>'POMV vs Distrib Income'!$B$48:$B$58</c:f>
              <c:numCache>
                <c:formatCode>_(* #,##0_);_(* \(#,##0\);_(* "-"??_);_(@_)</c:formatCode>
                <c:ptCount val="11"/>
                <c:pt idx="0">
                  <c:v>56452</c:v>
                </c:pt>
                <c:pt idx="1">
                  <c:v>63716.126300000004</c:v>
                </c:pt>
                <c:pt idx="2">
                  <c:v>71610.741450050002</c:v>
                </c:pt>
                <c:pt idx="3">
                  <c:v>75707.948587509745</c:v>
                </c:pt>
                <c:pt idx="4">
                  <c:v>79751.060206467606</c:v>
                </c:pt>
                <c:pt idx="5">
                  <c:v>74002.166522192376</c:v>
                </c:pt>
                <c:pt idx="6">
                  <c:v>68938.245488382978</c:v>
                </c:pt>
                <c:pt idx="7">
                  <c:v>68429.285984969552</c:v>
                </c:pt>
                <c:pt idx="8">
                  <c:v>74530.774076957387</c:v>
                </c:pt>
                <c:pt idx="9">
                  <c:v>78687.770391894068</c:v>
                </c:pt>
                <c:pt idx="10">
                  <c:v>83706.496891994859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06-4A9E-8BB4-35A5B5DE8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1808000"/>
        <c:axId val="441809536"/>
      </c:lineChart>
      <c:catAx>
        <c:axId val="44180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809536"/>
        <c:crosses val="autoZero"/>
        <c:auto val="1"/>
        <c:lblAlgn val="ctr"/>
        <c:lblOffset val="100"/>
        <c:noMultiLvlLbl val="0"/>
      </c:catAx>
      <c:valAx>
        <c:axId val="441809536"/>
        <c:scaling>
          <c:orientation val="minMax"/>
          <c:max val="9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/>
                  <a:t>$ millions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808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129007468919939"/>
          <c:y val="3.5024968291105775E-2"/>
          <c:w val="0.31467199513107924"/>
          <c:h val="0.828859793688579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Tradeoffs!$C$61</c:f>
              <c:strCache>
                <c:ptCount val="1"/>
                <c:pt idx="0">
                  <c:v>Permanent Fund Earnings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Tradeoffs!$B$62</c:f>
              <c:strCache>
                <c:ptCount val="1"/>
                <c:pt idx="0">
                  <c:v>FY18 Deficit</c:v>
                </c:pt>
              </c:strCache>
            </c:strRef>
          </c:cat>
          <c:val>
            <c:numRef>
              <c:f>Tradeoffs!$C$62</c:f>
              <c:numCache>
                <c:formatCode>_("$"* #,##0.00_);_("$"* \(#,##0.00\);_("$"* "-"??_);_(@_)</c:formatCode>
                <c:ptCount val="1"/>
                <c:pt idx="0">
                  <c:v>1.9225625000000011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FF-49A3-82BE-0B772E91FF12}"/>
            </c:ext>
          </c:extLst>
        </c:ser>
        <c:ser>
          <c:idx val="1"/>
          <c:order val="1"/>
          <c:tx>
            <c:strRef>
              <c:f>Tradeoffs!$D$61</c:f>
              <c:strCache>
                <c:ptCount val="1"/>
                <c:pt idx="0">
                  <c:v>Oil Settlements &amp; CBR Interest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numFmt formatCode="_(&quot;$&quot;* #,##0.00_);_(&quot;$&quot;* \(#,##0.00\);;_(@_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Tradeoffs!$B$62</c:f>
              <c:strCache>
                <c:ptCount val="1"/>
                <c:pt idx="0">
                  <c:v>FY18 Deficit</c:v>
                </c:pt>
              </c:strCache>
            </c:strRef>
          </c:cat>
          <c:val>
            <c:numRef>
              <c:f>Tradeoffs!$D$62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FF-49A3-82BE-0B772E91FF12}"/>
            </c:ext>
          </c:extLst>
        </c:ser>
        <c:ser>
          <c:idx val="2"/>
          <c:order val="2"/>
          <c:tx>
            <c:strRef>
              <c:f>Tradeoffs!$E$61</c:f>
              <c:strCache>
                <c:ptCount val="1"/>
                <c:pt idx="0">
                  <c:v>Spending Cuts &amp; New Revenue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Tradeoffs!$B$62</c:f>
              <c:strCache>
                <c:ptCount val="1"/>
                <c:pt idx="0">
                  <c:v>FY18 Deficit</c:v>
                </c:pt>
              </c:strCache>
            </c:strRef>
          </c:cat>
          <c:val>
            <c:numRef>
              <c:f>Tradeoffs!$E$62</c:f>
              <c:numCache>
                <c:formatCode>_("$"* #,##0.00_);_("$"* \(#,##0.00\);_("$"* "-"??_);_(@_)</c:formatCode>
                <c:ptCount val="1"/>
                <c:pt idx="0">
                  <c:v>0.97743749999999885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FF-49A3-82BE-0B772E91F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overlap val="100"/>
        <c:axId val="414960640"/>
        <c:axId val="415720576"/>
      </c:barChart>
      <c:catAx>
        <c:axId val="414960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2000" b="1"/>
            </a:pPr>
            <a:endParaRPr lang="en-US"/>
          </a:p>
        </c:txPr>
        <c:crossAx val="415720576"/>
        <c:crosses val="autoZero"/>
        <c:auto val="1"/>
        <c:lblAlgn val="ctr"/>
        <c:lblOffset val="100"/>
        <c:noMultiLvlLbl val="0"/>
      </c:catAx>
      <c:valAx>
        <c:axId val="41572057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$ billions</a:t>
                </a:r>
              </a:p>
            </c:rich>
          </c:tx>
          <c:overlay val="0"/>
        </c:title>
        <c:numFmt formatCode="_(&quot;$&quot;* #,##0.0_);_(&quot;$&quot;* \(#,##0.0\);_(&quot;$&quot;* &quot;-&quot;?_);_(@_)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414960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679265091863517"/>
          <c:y val="0.10946926692302997"/>
          <c:w val="0.5125574442310914"/>
          <c:h val="0.47485991576634318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Constitutional Budget Reserve + Misc Funds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 With HB 115</c:v>
          </c:tx>
          <c:marker>
            <c:symbol val="none"/>
          </c:marker>
          <c:xVal>
            <c:numRef>
              <c:f>'HB 115 Charts Helper'!$A$11:$A$72</c:f>
              <c:numCache>
                <c:formatCode>d\-mmm\-yy</c:formatCode>
                <c:ptCount val="62"/>
                <c:pt idx="0">
                  <c:v>42916</c:v>
                </c:pt>
                <c:pt idx="1">
                  <c:v>42931</c:v>
                </c:pt>
                <c:pt idx="2">
                  <c:v>42962</c:v>
                </c:pt>
                <c:pt idx="3">
                  <c:v>42993</c:v>
                </c:pt>
                <c:pt idx="4">
                  <c:v>43023</c:v>
                </c:pt>
                <c:pt idx="5">
                  <c:v>43054</c:v>
                </c:pt>
                <c:pt idx="6">
                  <c:v>43084</c:v>
                </c:pt>
                <c:pt idx="7">
                  <c:v>43115</c:v>
                </c:pt>
                <c:pt idx="8">
                  <c:v>43146</c:v>
                </c:pt>
                <c:pt idx="9">
                  <c:v>43174</c:v>
                </c:pt>
                <c:pt idx="10">
                  <c:v>43205</c:v>
                </c:pt>
                <c:pt idx="11">
                  <c:v>43235</c:v>
                </c:pt>
                <c:pt idx="12">
                  <c:v>43266</c:v>
                </c:pt>
                <c:pt idx="13">
                  <c:v>43296</c:v>
                </c:pt>
                <c:pt idx="14">
                  <c:v>43327</c:v>
                </c:pt>
                <c:pt idx="15">
                  <c:v>43358</c:v>
                </c:pt>
                <c:pt idx="16">
                  <c:v>43388</c:v>
                </c:pt>
                <c:pt idx="17">
                  <c:v>43419</c:v>
                </c:pt>
                <c:pt idx="18">
                  <c:v>43449</c:v>
                </c:pt>
                <c:pt idx="19">
                  <c:v>43480</c:v>
                </c:pt>
                <c:pt idx="20">
                  <c:v>43511</c:v>
                </c:pt>
                <c:pt idx="21">
                  <c:v>43539</c:v>
                </c:pt>
                <c:pt idx="22">
                  <c:v>43570</c:v>
                </c:pt>
                <c:pt idx="23">
                  <c:v>43600</c:v>
                </c:pt>
                <c:pt idx="24">
                  <c:v>43631</c:v>
                </c:pt>
                <c:pt idx="25">
                  <c:v>43661</c:v>
                </c:pt>
                <c:pt idx="26">
                  <c:v>43692</c:v>
                </c:pt>
                <c:pt idx="27">
                  <c:v>43723</c:v>
                </c:pt>
                <c:pt idx="28">
                  <c:v>43753</c:v>
                </c:pt>
                <c:pt idx="29">
                  <c:v>43784</c:v>
                </c:pt>
                <c:pt idx="30">
                  <c:v>43814</c:v>
                </c:pt>
                <c:pt idx="31">
                  <c:v>43845</c:v>
                </c:pt>
                <c:pt idx="32">
                  <c:v>43876</c:v>
                </c:pt>
                <c:pt idx="33">
                  <c:v>43905</c:v>
                </c:pt>
                <c:pt idx="34">
                  <c:v>43936</c:v>
                </c:pt>
                <c:pt idx="35">
                  <c:v>43966</c:v>
                </c:pt>
                <c:pt idx="36">
                  <c:v>43997</c:v>
                </c:pt>
                <c:pt idx="37">
                  <c:v>44027</c:v>
                </c:pt>
                <c:pt idx="38">
                  <c:v>44058</c:v>
                </c:pt>
                <c:pt idx="39">
                  <c:v>44089</c:v>
                </c:pt>
                <c:pt idx="40">
                  <c:v>44119</c:v>
                </c:pt>
                <c:pt idx="41">
                  <c:v>44150</c:v>
                </c:pt>
                <c:pt idx="42">
                  <c:v>44180</c:v>
                </c:pt>
                <c:pt idx="43">
                  <c:v>44211</c:v>
                </c:pt>
                <c:pt idx="44">
                  <c:v>44242</c:v>
                </c:pt>
                <c:pt idx="45">
                  <c:v>44270</c:v>
                </c:pt>
                <c:pt idx="46">
                  <c:v>44301</c:v>
                </c:pt>
                <c:pt idx="47">
                  <c:v>44331</c:v>
                </c:pt>
                <c:pt idx="48">
                  <c:v>44362</c:v>
                </c:pt>
                <c:pt idx="49">
                  <c:v>44392</c:v>
                </c:pt>
                <c:pt idx="50">
                  <c:v>44423</c:v>
                </c:pt>
                <c:pt idx="51">
                  <c:v>44454</c:v>
                </c:pt>
                <c:pt idx="52">
                  <c:v>44484</c:v>
                </c:pt>
                <c:pt idx="53">
                  <c:v>44515</c:v>
                </c:pt>
                <c:pt idx="54">
                  <c:v>44545</c:v>
                </c:pt>
                <c:pt idx="55">
                  <c:v>44576</c:v>
                </c:pt>
                <c:pt idx="56">
                  <c:v>44607</c:v>
                </c:pt>
                <c:pt idx="57">
                  <c:v>44635</c:v>
                </c:pt>
                <c:pt idx="58">
                  <c:v>44666</c:v>
                </c:pt>
                <c:pt idx="59">
                  <c:v>44696</c:v>
                </c:pt>
                <c:pt idx="60">
                  <c:v>44727</c:v>
                </c:pt>
                <c:pt idx="61">
                  <c:v>44742</c:v>
                </c:pt>
              </c:numCache>
            </c:numRef>
          </c:xVal>
          <c:yVal>
            <c:numRef>
              <c:f>'HB 115 Charts Helper'!$F$11:$F$72</c:f>
              <c:numCache>
                <c:formatCode>_(* #,##0_);_(* \(#,##0\);_(* "-"??_);_(@_)</c:formatCode>
                <c:ptCount val="62"/>
                <c:pt idx="0">
                  <c:v>7873.2846000000009</c:v>
                </c:pt>
                <c:pt idx="1">
                  <c:v>7808.673651676484</c:v>
                </c:pt>
                <c:pt idx="2">
                  <c:v>7675.1443584745484</c:v>
                </c:pt>
                <c:pt idx="3">
                  <c:v>7541.6150652726137</c:v>
                </c:pt>
                <c:pt idx="4">
                  <c:v>7412.3931686255792</c:v>
                </c:pt>
                <c:pt idx="5">
                  <c:v>7278.8638754236435</c:v>
                </c:pt>
                <c:pt idx="6">
                  <c:v>7149.6419787766099</c:v>
                </c:pt>
                <c:pt idx="7">
                  <c:v>7016.1126855746752</c:v>
                </c:pt>
                <c:pt idx="8">
                  <c:v>6882.5833923727396</c:v>
                </c:pt>
                <c:pt idx="9">
                  <c:v>6761.9762888355081</c:v>
                </c:pt>
                <c:pt idx="10">
                  <c:v>6628.4469956335724</c:v>
                </c:pt>
                <c:pt idx="11">
                  <c:v>6499.2250989865388</c:v>
                </c:pt>
                <c:pt idx="12">
                  <c:v>6365.6958057846032</c:v>
                </c:pt>
                <c:pt idx="13">
                  <c:v>6292.3072187469115</c:v>
                </c:pt>
                <c:pt idx="14">
                  <c:v>6274.1667654042849</c:v>
                </c:pt>
                <c:pt idx="15">
                  <c:v>6256.0263120616582</c:v>
                </c:pt>
                <c:pt idx="16">
                  <c:v>6238.4710346333086</c:v>
                </c:pt>
                <c:pt idx="17">
                  <c:v>6220.3305812906819</c:v>
                </c:pt>
                <c:pt idx="18">
                  <c:v>6202.7753038623332</c:v>
                </c:pt>
                <c:pt idx="19">
                  <c:v>6184.6348505197057</c:v>
                </c:pt>
                <c:pt idx="20">
                  <c:v>6166.494397177079</c:v>
                </c:pt>
                <c:pt idx="21">
                  <c:v>6150.109471577287</c:v>
                </c:pt>
                <c:pt idx="22">
                  <c:v>6131.9690182346594</c:v>
                </c:pt>
                <c:pt idx="23">
                  <c:v>6114.4137408063107</c:v>
                </c:pt>
                <c:pt idx="24">
                  <c:v>6096.273287463684</c:v>
                </c:pt>
                <c:pt idx="25">
                  <c:v>6096.5699933640853</c:v>
                </c:pt>
                <c:pt idx="26">
                  <c:v>6115.3236389008762</c:v>
                </c:pt>
                <c:pt idx="27">
                  <c:v>6134.0772844376661</c:v>
                </c:pt>
                <c:pt idx="28">
                  <c:v>6152.2259736668184</c:v>
                </c:pt>
                <c:pt idx="29">
                  <c:v>6170.9796192036092</c:v>
                </c:pt>
                <c:pt idx="30">
                  <c:v>6189.1283084327606</c:v>
                </c:pt>
                <c:pt idx="31">
                  <c:v>6207.8819539695514</c:v>
                </c:pt>
                <c:pt idx="32">
                  <c:v>6226.6355995063423</c:v>
                </c:pt>
                <c:pt idx="33">
                  <c:v>6244.179332427856</c:v>
                </c:pt>
                <c:pt idx="34">
                  <c:v>6262.9329779646459</c:v>
                </c:pt>
                <c:pt idx="35">
                  <c:v>6281.0816671937982</c:v>
                </c:pt>
                <c:pt idx="36">
                  <c:v>6299.8353127305891</c:v>
                </c:pt>
                <c:pt idx="37">
                  <c:v>6319.8045621385918</c:v>
                </c:pt>
                <c:pt idx="38">
                  <c:v>6342.3206987116746</c:v>
                </c:pt>
                <c:pt idx="39">
                  <c:v>6364.8368352847583</c:v>
                </c:pt>
                <c:pt idx="40">
                  <c:v>6386.6266448716133</c:v>
                </c:pt>
                <c:pt idx="41">
                  <c:v>6409.1427814446961</c:v>
                </c:pt>
                <c:pt idx="42">
                  <c:v>6430.9325910315511</c:v>
                </c:pt>
                <c:pt idx="43">
                  <c:v>6453.4487276046348</c:v>
                </c:pt>
                <c:pt idx="44">
                  <c:v>6475.9648641777176</c:v>
                </c:pt>
                <c:pt idx="45">
                  <c:v>6496.302019792116</c:v>
                </c:pt>
                <c:pt idx="46">
                  <c:v>6518.8181563651988</c:v>
                </c:pt>
                <c:pt idx="47">
                  <c:v>6540.6079659520537</c:v>
                </c:pt>
                <c:pt idx="48">
                  <c:v>6563.1241025251375</c:v>
                </c:pt>
                <c:pt idx="49">
                  <c:v>6586.6628218575888</c:v>
                </c:pt>
                <c:pt idx="50">
                  <c:v>6612.7933719049051</c:v>
                </c:pt>
                <c:pt idx="51">
                  <c:v>6638.9239219522215</c:v>
                </c:pt>
                <c:pt idx="52">
                  <c:v>6664.2115510302692</c:v>
                </c:pt>
                <c:pt idx="53">
                  <c:v>6690.3421010775855</c:v>
                </c:pt>
                <c:pt idx="54">
                  <c:v>6715.6297301556342</c:v>
                </c:pt>
                <c:pt idx="55">
                  <c:v>6741.7602802029505</c:v>
                </c:pt>
                <c:pt idx="56">
                  <c:v>6767.8908302502659</c:v>
                </c:pt>
                <c:pt idx="57">
                  <c:v>6791.4926173897775</c:v>
                </c:pt>
                <c:pt idx="58">
                  <c:v>6817.6231674370938</c:v>
                </c:pt>
                <c:pt idx="59">
                  <c:v>6842.9107965151425</c:v>
                </c:pt>
                <c:pt idx="60">
                  <c:v>6869.0413465624588</c:v>
                </c:pt>
                <c:pt idx="61">
                  <c:v>6881.6851611014827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90-49A9-977E-97620BC54E73}"/>
            </c:ext>
          </c:extLst>
        </c:ser>
        <c:ser>
          <c:idx val="1"/>
          <c:order val="1"/>
          <c:tx>
            <c:v>Status Quo</c:v>
          </c:tx>
          <c:marker>
            <c:symbol val="none"/>
          </c:marker>
          <c:xVal>
            <c:numRef>
              <c:f>'HB 61 Charts Helper'!$A$14:$A$75</c:f>
              <c:numCache>
                <c:formatCode>d\-mmm\-yy</c:formatCode>
                <c:ptCount val="62"/>
                <c:pt idx="0">
                  <c:v>42916</c:v>
                </c:pt>
                <c:pt idx="1">
                  <c:v>42931</c:v>
                </c:pt>
                <c:pt idx="2">
                  <c:v>42962</c:v>
                </c:pt>
                <c:pt idx="3">
                  <c:v>42993</c:v>
                </c:pt>
                <c:pt idx="4">
                  <c:v>43023</c:v>
                </c:pt>
                <c:pt idx="5">
                  <c:v>43054</c:v>
                </c:pt>
                <c:pt idx="6">
                  <c:v>43084</c:v>
                </c:pt>
                <c:pt idx="7">
                  <c:v>43115</c:v>
                </c:pt>
                <c:pt idx="8">
                  <c:v>43146</c:v>
                </c:pt>
                <c:pt idx="9">
                  <c:v>43174</c:v>
                </c:pt>
                <c:pt idx="10">
                  <c:v>43205</c:v>
                </c:pt>
                <c:pt idx="11">
                  <c:v>43235</c:v>
                </c:pt>
                <c:pt idx="12">
                  <c:v>43266</c:v>
                </c:pt>
                <c:pt idx="13">
                  <c:v>43296</c:v>
                </c:pt>
                <c:pt idx="14">
                  <c:v>43327</c:v>
                </c:pt>
                <c:pt idx="15">
                  <c:v>43358</c:v>
                </c:pt>
                <c:pt idx="16">
                  <c:v>43388</c:v>
                </c:pt>
                <c:pt idx="17">
                  <c:v>43419</c:v>
                </c:pt>
                <c:pt idx="18">
                  <c:v>43449</c:v>
                </c:pt>
                <c:pt idx="19">
                  <c:v>43480</c:v>
                </c:pt>
                <c:pt idx="20">
                  <c:v>43511</c:v>
                </c:pt>
                <c:pt idx="21">
                  <c:v>43539</c:v>
                </c:pt>
                <c:pt idx="22">
                  <c:v>43570</c:v>
                </c:pt>
                <c:pt idx="23">
                  <c:v>43600</c:v>
                </c:pt>
                <c:pt idx="24">
                  <c:v>43631</c:v>
                </c:pt>
                <c:pt idx="25">
                  <c:v>43661</c:v>
                </c:pt>
                <c:pt idx="26">
                  <c:v>43692</c:v>
                </c:pt>
                <c:pt idx="27">
                  <c:v>43723</c:v>
                </c:pt>
                <c:pt idx="28">
                  <c:v>43753</c:v>
                </c:pt>
                <c:pt idx="29">
                  <c:v>43784</c:v>
                </c:pt>
                <c:pt idx="30">
                  <c:v>43814</c:v>
                </c:pt>
                <c:pt idx="31">
                  <c:v>43845</c:v>
                </c:pt>
                <c:pt idx="32">
                  <c:v>43876</c:v>
                </c:pt>
                <c:pt idx="33">
                  <c:v>43905</c:v>
                </c:pt>
                <c:pt idx="34">
                  <c:v>43936</c:v>
                </c:pt>
                <c:pt idx="35">
                  <c:v>43966</c:v>
                </c:pt>
                <c:pt idx="36">
                  <c:v>43997</c:v>
                </c:pt>
                <c:pt idx="37">
                  <c:v>44027</c:v>
                </c:pt>
                <c:pt idx="38">
                  <c:v>44058</c:v>
                </c:pt>
                <c:pt idx="39">
                  <c:v>44089</c:v>
                </c:pt>
                <c:pt idx="40">
                  <c:v>44119</c:v>
                </c:pt>
                <c:pt idx="41">
                  <c:v>44150</c:v>
                </c:pt>
                <c:pt idx="42">
                  <c:v>44180</c:v>
                </c:pt>
                <c:pt idx="43">
                  <c:v>44211</c:v>
                </c:pt>
                <c:pt idx="44">
                  <c:v>44242</c:v>
                </c:pt>
                <c:pt idx="45">
                  <c:v>44270</c:v>
                </c:pt>
                <c:pt idx="46">
                  <c:v>44301</c:v>
                </c:pt>
                <c:pt idx="47">
                  <c:v>44331</c:v>
                </c:pt>
                <c:pt idx="48">
                  <c:v>44362</c:v>
                </c:pt>
                <c:pt idx="49">
                  <c:v>44392</c:v>
                </c:pt>
                <c:pt idx="50">
                  <c:v>44423</c:v>
                </c:pt>
                <c:pt idx="51">
                  <c:v>44454</c:v>
                </c:pt>
                <c:pt idx="52">
                  <c:v>44484</c:v>
                </c:pt>
                <c:pt idx="53">
                  <c:v>44515</c:v>
                </c:pt>
                <c:pt idx="54">
                  <c:v>44545</c:v>
                </c:pt>
                <c:pt idx="55">
                  <c:v>44576</c:v>
                </c:pt>
                <c:pt idx="56">
                  <c:v>44607</c:v>
                </c:pt>
                <c:pt idx="57">
                  <c:v>44635</c:v>
                </c:pt>
                <c:pt idx="58">
                  <c:v>44666</c:v>
                </c:pt>
                <c:pt idx="59">
                  <c:v>44696</c:v>
                </c:pt>
                <c:pt idx="60">
                  <c:v>44727</c:v>
                </c:pt>
                <c:pt idx="61">
                  <c:v>44742</c:v>
                </c:pt>
              </c:numCache>
            </c:numRef>
          </c:xVal>
          <c:yVal>
            <c:numRef>
              <c:f>'HB 61 Charts Helper'!$F$14:$F$75</c:f>
              <c:numCache>
                <c:formatCode>_(* #,##0_);_(* \(#,##0\);_(* "-"??_);_(@_)</c:formatCode>
                <c:ptCount val="62"/>
                <c:pt idx="0">
                  <c:v>6171.7926000000007</c:v>
                </c:pt>
                <c:pt idx="1">
                  <c:v>6032.391500800275</c:v>
                </c:pt>
                <c:pt idx="2">
                  <c:v>5744.2958957875071</c:v>
                </c:pt>
                <c:pt idx="3">
                  <c:v>5456.2002907747401</c:v>
                </c:pt>
                <c:pt idx="4">
                  <c:v>5177.3980923752879</c:v>
                </c:pt>
                <c:pt idx="5">
                  <c:v>4889.3024873625209</c:v>
                </c:pt>
                <c:pt idx="6">
                  <c:v>4610.5002889630687</c:v>
                </c:pt>
                <c:pt idx="7">
                  <c:v>4322.4046839503017</c:v>
                </c:pt>
                <c:pt idx="8">
                  <c:v>4034.3090789375347</c:v>
                </c:pt>
                <c:pt idx="9">
                  <c:v>3774.0936937647125</c:v>
                </c:pt>
                <c:pt idx="10">
                  <c:v>3485.9980887519455</c:v>
                </c:pt>
                <c:pt idx="11">
                  <c:v>3207.1958903524937</c:v>
                </c:pt>
                <c:pt idx="12">
                  <c:v>2919.1002853397263</c:v>
                </c:pt>
                <c:pt idx="13">
                  <c:v>2675.4160479131283</c:v>
                </c:pt>
                <c:pt idx="14">
                  <c:v>2459.897562244259</c:v>
                </c:pt>
                <c:pt idx="15">
                  <c:v>2244.3790765753902</c:v>
                </c:pt>
                <c:pt idx="16">
                  <c:v>2035.812800121646</c:v>
                </c:pt>
                <c:pt idx="17">
                  <c:v>1820.2943144527771</c:v>
                </c:pt>
                <c:pt idx="18">
                  <c:v>1611.7280379990329</c:v>
                </c:pt>
                <c:pt idx="19">
                  <c:v>1396.2095523301639</c:v>
                </c:pt>
                <c:pt idx="20">
                  <c:v>1180.6910666612951</c:v>
                </c:pt>
                <c:pt idx="21">
                  <c:v>986.02920863780037</c:v>
                </c:pt>
                <c:pt idx="22">
                  <c:v>770.51072296893153</c:v>
                </c:pt>
                <c:pt idx="23">
                  <c:v>561.94444651518734</c:v>
                </c:pt>
                <c:pt idx="24">
                  <c:v>346.4259608463185</c:v>
                </c:pt>
                <c:pt idx="25">
                  <c:v>140.19610130797076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90-49A9-977E-97620BC54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6833920"/>
        <c:axId val="266836224"/>
      </c:scatterChart>
      <c:valAx>
        <c:axId val="266833920"/>
        <c:scaling>
          <c:orientation val="minMax"/>
          <c:max val="44742"/>
          <c:min val="42916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&quot;30-&quot;mmm\-yy" sourceLinked="0"/>
        <c:majorTickMark val="out"/>
        <c:minorTickMark val="none"/>
        <c:tickLblPos val="nextTo"/>
        <c:crossAx val="266836224"/>
        <c:crosses val="autoZero"/>
        <c:crossBetween val="midCat"/>
        <c:majorUnit val="365"/>
      </c:valAx>
      <c:valAx>
        <c:axId val="266836224"/>
        <c:scaling>
          <c:orientation val="minMax"/>
          <c:max val="9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$ billions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66833920"/>
        <c:crosses val="autoZero"/>
        <c:crossBetween val="midCat"/>
        <c:dispUnits>
          <c:builtInUnit val="thousands"/>
        </c:dispUnits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Permanent Fund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With HB 115</c:v>
          </c:tx>
          <c:marker>
            <c:symbol val="none"/>
          </c:marker>
          <c:xVal>
            <c:numRef>
              <c:f>'HB 61 Charts Helper'!$A$4:$F$4</c:f>
              <c:numCache>
                <c:formatCode>d\-mmm\-yy</c:formatCode>
                <c:ptCount val="6"/>
                <c:pt idx="0">
                  <c:v>42916</c:v>
                </c:pt>
                <c:pt idx="1">
                  <c:v>43281</c:v>
                </c:pt>
                <c:pt idx="2">
                  <c:v>43646</c:v>
                </c:pt>
                <c:pt idx="3">
                  <c:v>44012</c:v>
                </c:pt>
                <c:pt idx="4">
                  <c:v>44377</c:v>
                </c:pt>
                <c:pt idx="5">
                  <c:v>44742</c:v>
                </c:pt>
              </c:numCache>
            </c:numRef>
          </c:xVal>
          <c:yVal>
            <c:numRef>
              <c:f>'HB 115'!$B$66:$G$66</c:f>
              <c:numCache>
                <c:formatCode>#,##0_);[Red]\(#,##0\)</c:formatCode>
                <c:ptCount val="6"/>
                <c:pt idx="0">
                  <c:v>54794.371347073997</c:v>
                </c:pt>
                <c:pt idx="1">
                  <c:v>56155.812909143846</c:v>
                </c:pt>
                <c:pt idx="2">
                  <c:v>57496.659545159622</c:v>
                </c:pt>
                <c:pt idx="3">
                  <c:v>58948.245304922253</c:v>
                </c:pt>
                <c:pt idx="4">
                  <c:v>60442.86452058248</c:v>
                </c:pt>
                <c:pt idx="5">
                  <c:v>61981.347991866467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22-4CAD-803B-684696E3A00B}"/>
            </c:ext>
          </c:extLst>
        </c:ser>
        <c:ser>
          <c:idx val="1"/>
          <c:order val="1"/>
          <c:tx>
            <c:v>Status Quo</c:v>
          </c:tx>
          <c:marker>
            <c:symbol val="none"/>
          </c:marker>
          <c:xVal>
            <c:numRef>
              <c:f>'HB 61 Charts Helper'!$A$4:$F$4</c:f>
              <c:numCache>
                <c:formatCode>d\-mmm\-yy</c:formatCode>
                <c:ptCount val="6"/>
                <c:pt idx="0">
                  <c:v>42916</c:v>
                </c:pt>
                <c:pt idx="1">
                  <c:v>43281</c:v>
                </c:pt>
                <c:pt idx="2">
                  <c:v>43646</c:v>
                </c:pt>
                <c:pt idx="3">
                  <c:v>44012</c:v>
                </c:pt>
                <c:pt idx="4">
                  <c:v>44377</c:v>
                </c:pt>
                <c:pt idx="5">
                  <c:v>44742</c:v>
                </c:pt>
              </c:numCache>
            </c:numRef>
          </c:xVal>
          <c:yVal>
            <c:numRef>
              <c:f>Generic!$B$51:$G$51</c:f>
              <c:numCache>
                <c:formatCode>#,##0_);[Red]\(#,##0\)</c:formatCode>
                <c:ptCount val="6"/>
                <c:pt idx="0">
                  <c:v>56484.371347073997</c:v>
                </c:pt>
                <c:pt idx="1">
                  <c:v>59057.187646130886</c:v>
                </c:pt>
                <c:pt idx="2">
                  <c:v>61786.298702676024</c:v>
                </c:pt>
                <c:pt idx="3">
                  <c:v>62469.954502832501</c:v>
                </c:pt>
                <c:pt idx="4">
                  <c:v>62869.258320105262</c:v>
                </c:pt>
                <c:pt idx="5">
                  <c:v>63122.681706917727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122-4CAD-803B-684696E3A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2371072"/>
        <c:axId val="272374016"/>
      </c:scatterChart>
      <c:valAx>
        <c:axId val="272371072"/>
        <c:scaling>
          <c:orientation val="minMax"/>
          <c:max val="44742"/>
          <c:min val="42916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&quot;30-&quot;mmm\-yy" sourceLinked="0"/>
        <c:majorTickMark val="out"/>
        <c:minorTickMark val="none"/>
        <c:tickLblPos val="nextTo"/>
        <c:crossAx val="272374016"/>
        <c:crosses val="autoZero"/>
        <c:crossBetween val="midCat"/>
        <c:majorUnit val="365"/>
      </c:valAx>
      <c:valAx>
        <c:axId val="272374016"/>
        <c:scaling>
          <c:orientation val="minMax"/>
          <c:max val="70000"/>
          <c:min val="4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$ billions</a:t>
                </a:r>
              </a:p>
            </c:rich>
          </c:tx>
          <c:overlay val="0"/>
        </c:title>
        <c:numFmt formatCode="#,##0_);[Red]\(#,##0\)" sourceLinked="1"/>
        <c:majorTickMark val="out"/>
        <c:minorTickMark val="none"/>
        <c:tickLblPos val="nextTo"/>
        <c:crossAx val="272371072"/>
        <c:crosses val="autoZero"/>
        <c:crossBetween val="midCat"/>
        <c:dispUnits>
          <c:builtInUnit val="thousands"/>
        </c:dispUnits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Permanent</a:t>
            </a:r>
            <a:r>
              <a:rPr lang="en-US" baseline="0"/>
              <a:t> Fund</a:t>
            </a:r>
            <a:r>
              <a:rPr lang="en-US"/>
              <a:t> Earnings Reserve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With HB 115</c:v>
          </c:tx>
          <c:marker>
            <c:symbol val="none"/>
          </c:marker>
          <c:xVal>
            <c:numRef>
              <c:f>'HB 115 Charts Helper'!$A$11:$A$72</c:f>
              <c:numCache>
                <c:formatCode>d\-mmm\-yy</c:formatCode>
                <c:ptCount val="62"/>
                <c:pt idx="0">
                  <c:v>42916</c:v>
                </c:pt>
                <c:pt idx="1">
                  <c:v>42931</c:v>
                </c:pt>
                <c:pt idx="2">
                  <c:v>42962</c:v>
                </c:pt>
                <c:pt idx="3">
                  <c:v>42993</c:v>
                </c:pt>
                <c:pt idx="4">
                  <c:v>43023</c:v>
                </c:pt>
                <c:pt idx="5">
                  <c:v>43054</c:v>
                </c:pt>
                <c:pt idx="6">
                  <c:v>43084</c:v>
                </c:pt>
                <c:pt idx="7">
                  <c:v>43115</c:v>
                </c:pt>
                <c:pt idx="8">
                  <c:v>43146</c:v>
                </c:pt>
                <c:pt idx="9">
                  <c:v>43174</c:v>
                </c:pt>
                <c:pt idx="10">
                  <c:v>43205</c:v>
                </c:pt>
                <c:pt idx="11">
                  <c:v>43235</c:v>
                </c:pt>
                <c:pt idx="12">
                  <c:v>43266</c:v>
                </c:pt>
                <c:pt idx="13">
                  <c:v>43296</c:v>
                </c:pt>
                <c:pt idx="14">
                  <c:v>43327</c:v>
                </c:pt>
                <c:pt idx="15">
                  <c:v>43358</c:v>
                </c:pt>
                <c:pt idx="16">
                  <c:v>43388</c:v>
                </c:pt>
                <c:pt idx="17">
                  <c:v>43419</c:v>
                </c:pt>
                <c:pt idx="18">
                  <c:v>43449</c:v>
                </c:pt>
                <c:pt idx="19">
                  <c:v>43480</c:v>
                </c:pt>
                <c:pt idx="20">
                  <c:v>43511</c:v>
                </c:pt>
                <c:pt idx="21">
                  <c:v>43539</c:v>
                </c:pt>
                <c:pt idx="22">
                  <c:v>43570</c:v>
                </c:pt>
                <c:pt idx="23">
                  <c:v>43600</c:v>
                </c:pt>
                <c:pt idx="24">
                  <c:v>43631</c:v>
                </c:pt>
                <c:pt idx="25">
                  <c:v>43661</c:v>
                </c:pt>
                <c:pt idx="26">
                  <c:v>43692</c:v>
                </c:pt>
                <c:pt idx="27">
                  <c:v>43723</c:v>
                </c:pt>
                <c:pt idx="28">
                  <c:v>43753</c:v>
                </c:pt>
                <c:pt idx="29">
                  <c:v>43784</c:v>
                </c:pt>
                <c:pt idx="30">
                  <c:v>43814</c:v>
                </c:pt>
                <c:pt idx="31">
                  <c:v>43845</c:v>
                </c:pt>
                <c:pt idx="32">
                  <c:v>43876</c:v>
                </c:pt>
                <c:pt idx="33">
                  <c:v>43905</c:v>
                </c:pt>
                <c:pt idx="34">
                  <c:v>43936</c:v>
                </c:pt>
                <c:pt idx="35">
                  <c:v>43966</c:v>
                </c:pt>
                <c:pt idx="36">
                  <c:v>43997</c:v>
                </c:pt>
                <c:pt idx="37">
                  <c:v>44027</c:v>
                </c:pt>
                <c:pt idx="38">
                  <c:v>44058</c:v>
                </c:pt>
                <c:pt idx="39">
                  <c:v>44089</c:v>
                </c:pt>
                <c:pt idx="40">
                  <c:v>44119</c:v>
                </c:pt>
                <c:pt idx="41">
                  <c:v>44150</c:v>
                </c:pt>
                <c:pt idx="42">
                  <c:v>44180</c:v>
                </c:pt>
                <c:pt idx="43">
                  <c:v>44211</c:v>
                </c:pt>
                <c:pt idx="44">
                  <c:v>44242</c:v>
                </c:pt>
                <c:pt idx="45">
                  <c:v>44270</c:v>
                </c:pt>
                <c:pt idx="46">
                  <c:v>44301</c:v>
                </c:pt>
                <c:pt idx="47">
                  <c:v>44331</c:v>
                </c:pt>
                <c:pt idx="48">
                  <c:v>44362</c:v>
                </c:pt>
                <c:pt idx="49">
                  <c:v>44392</c:v>
                </c:pt>
                <c:pt idx="50">
                  <c:v>44423</c:v>
                </c:pt>
                <c:pt idx="51">
                  <c:v>44454</c:v>
                </c:pt>
                <c:pt idx="52">
                  <c:v>44484</c:v>
                </c:pt>
                <c:pt idx="53">
                  <c:v>44515</c:v>
                </c:pt>
                <c:pt idx="54">
                  <c:v>44545</c:v>
                </c:pt>
                <c:pt idx="55">
                  <c:v>44576</c:v>
                </c:pt>
                <c:pt idx="56">
                  <c:v>44607</c:v>
                </c:pt>
                <c:pt idx="57">
                  <c:v>44635</c:v>
                </c:pt>
                <c:pt idx="58">
                  <c:v>44666</c:v>
                </c:pt>
                <c:pt idx="59">
                  <c:v>44696</c:v>
                </c:pt>
                <c:pt idx="60">
                  <c:v>44727</c:v>
                </c:pt>
                <c:pt idx="61">
                  <c:v>44742</c:v>
                </c:pt>
              </c:numCache>
            </c:numRef>
          </c:xVal>
          <c:yVal>
            <c:numRef>
              <c:f>'HB 115 Charts Helper'!$I$11:$I$72</c:f>
              <c:numCache>
                <c:formatCode>_(* #,##0_);_(* \(#,##0\);_(* "-"??_);_(@_)</c:formatCode>
                <c:ptCount val="62"/>
                <c:pt idx="0">
                  <c:v>9804.9352198899614</c:v>
                </c:pt>
                <c:pt idx="1">
                  <c:v>9819.8952353154782</c:v>
                </c:pt>
                <c:pt idx="2">
                  <c:v>9850.812600528212</c:v>
                </c:pt>
                <c:pt idx="3">
                  <c:v>9881.7299657409458</c:v>
                </c:pt>
                <c:pt idx="4">
                  <c:v>9911.6499965919775</c:v>
                </c:pt>
                <c:pt idx="5">
                  <c:v>9942.5673618047113</c:v>
                </c:pt>
                <c:pt idx="6">
                  <c:v>9972.4873926557448</c:v>
                </c:pt>
                <c:pt idx="7">
                  <c:v>10003.404757868479</c:v>
                </c:pt>
                <c:pt idx="8">
                  <c:v>10034.322123081212</c:v>
                </c:pt>
                <c:pt idx="9">
                  <c:v>10062.247485208842</c:v>
                </c:pt>
                <c:pt idx="10">
                  <c:v>10093.164850421575</c:v>
                </c:pt>
                <c:pt idx="11">
                  <c:v>10123.084881272609</c:v>
                </c:pt>
                <c:pt idx="12">
                  <c:v>10154.002246485343</c:v>
                </c:pt>
                <c:pt idx="13">
                  <c:v>10196.346568900564</c:v>
                </c:pt>
                <c:pt idx="14">
                  <c:v>10252.940803345955</c:v>
                </c:pt>
                <c:pt idx="15">
                  <c:v>10309.535037791347</c:v>
                </c:pt>
                <c:pt idx="16">
                  <c:v>10364.303651770757</c:v>
                </c:pt>
                <c:pt idx="17">
                  <c:v>10420.897886216148</c:v>
                </c:pt>
                <c:pt idx="18">
                  <c:v>10475.666500195559</c:v>
                </c:pt>
                <c:pt idx="19">
                  <c:v>10532.26073464095</c:v>
                </c:pt>
                <c:pt idx="20">
                  <c:v>10588.85496908634</c:v>
                </c:pt>
                <c:pt idx="21">
                  <c:v>10639.972342133789</c:v>
                </c:pt>
                <c:pt idx="22">
                  <c:v>10696.56657657918</c:v>
                </c:pt>
                <c:pt idx="23">
                  <c:v>10751.335190558591</c:v>
                </c:pt>
                <c:pt idx="24">
                  <c:v>10807.929425003982</c:v>
                </c:pt>
                <c:pt idx="25">
                  <c:v>10828.695121551387</c:v>
                </c:pt>
                <c:pt idx="26">
                  <c:v>10815.016659970637</c:v>
                </c:pt>
                <c:pt idx="27">
                  <c:v>10801.338198389885</c:v>
                </c:pt>
                <c:pt idx="28">
                  <c:v>10788.100977505288</c:v>
                </c:pt>
                <c:pt idx="29">
                  <c:v>10774.422515924538</c:v>
                </c:pt>
                <c:pt idx="30">
                  <c:v>10761.185295039939</c:v>
                </c:pt>
                <c:pt idx="31">
                  <c:v>10747.506833459189</c:v>
                </c:pt>
                <c:pt idx="32">
                  <c:v>10733.828371878437</c:v>
                </c:pt>
                <c:pt idx="33">
                  <c:v>10721.032391689992</c:v>
                </c:pt>
                <c:pt idx="34">
                  <c:v>10707.353930109242</c:v>
                </c:pt>
                <c:pt idx="35">
                  <c:v>10694.116709224645</c:v>
                </c:pt>
                <c:pt idx="36">
                  <c:v>10680.438247643893</c:v>
                </c:pt>
                <c:pt idx="37">
                  <c:v>10686.609722393816</c:v>
                </c:pt>
                <c:pt idx="38">
                  <c:v>10713.042565124404</c:v>
                </c:pt>
                <c:pt idx="39">
                  <c:v>10739.475407854994</c:v>
                </c:pt>
                <c:pt idx="40">
                  <c:v>10765.055578239435</c:v>
                </c:pt>
                <c:pt idx="41">
                  <c:v>10791.488420970023</c:v>
                </c:pt>
                <c:pt idx="42">
                  <c:v>10817.068591354464</c:v>
                </c:pt>
                <c:pt idx="43">
                  <c:v>10843.501434085052</c:v>
                </c:pt>
                <c:pt idx="44">
                  <c:v>10869.934276815642</c:v>
                </c:pt>
                <c:pt idx="45">
                  <c:v>10893.809102507787</c:v>
                </c:pt>
                <c:pt idx="46">
                  <c:v>10920.241945238375</c:v>
                </c:pt>
                <c:pt idx="47">
                  <c:v>10945.822115622816</c:v>
                </c:pt>
                <c:pt idx="48">
                  <c:v>10972.254958353404</c:v>
                </c:pt>
                <c:pt idx="49">
                  <c:v>10994.785223028386</c:v>
                </c:pt>
                <c:pt idx="50">
                  <c:v>11014.914927292759</c:v>
                </c:pt>
                <c:pt idx="51">
                  <c:v>11035.044631557133</c:v>
                </c:pt>
                <c:pt idx="52">
                  <c:v>11054.524990522657</c:v>
                </c:pt>
                <c:pt idx="53">
                  <c:v>11074.65469478703</c:v>
                </c:pt>
                <c:pt idx="54">
                  <c:v>11094.135053752554</c:v>
                </c:pt>
                <c:pt idx="55">
                  <c:v>11114.264758016929</c:v>
                </c:pt>
                <c:pt idx="56">
                  <c:v>11134.394462281301</c:v>
                </c:pt>
                <c:pt idx="57">
                  <c:v>11152.576130649124</c:v>
                </c:pt>
                <c:pt idx="58">
                  <c:v>11172.705834913497</c:v>
                </c:pt>
                <c:pt idx="59">
                  <c:v>11192.186193879021</c:v>
                </c:pt>
                <c:pt idx="60">
                  <c:v>11212.315898143395</c:v>
                </c:pt>
                <c:pt idx="61">
                  <c:v>11222.056077626155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5FC-48DA-AB67-F1D15AAFBC9E}"/>
            </c:ext>
          </c:extLst>
        </c:ser>
        <c:ser>
          <c:idx val="1"/>
          <c:order val="1"/>
          <c:tx>
            <c:v>Status Quo</c:v>
          </c:tx>
          <c:marker>
            <c:symbol val="none"/>
          </c:marker>
          <c:xVal>
            <c:numRef>
              <c:f>'HB 61 Charts Helper'!$A$14:$A$75</c:f>
              <c:numCache>
                <c:formatCode>d\-mmm\-yy</c:formatCode>
                <c:ptCount val="62"/>
                <c:pt idx="0">
                  <c:v>42916</c:v>
                </c:pt>
                <c:pt idx="1">
                  <c:v>42931</c:v>
                </c:pt>
                <c:pt idx="2">
                  <c:v>42962</c:v>
                </c:pt>
                <c:pt idx="3">
                  <c:v>42993</c:v>
                </c:pt>
                <c:pt idx="4">
                  <c:v>43023</c:v>
                </c:pt>
                <c:pt idx="5">
                  <c:v>43054</c:v>
                </c:pt>
                <c:pt idx="6">
                  <c:v>43084</c:v>
                </c:pt>
                <c:pt idx="7">
                  <c:v>43115</c:v>
                </c:pt>
                <c:pt idx="8">
                  <c:v>43146</c:v>
                </c:pt>
                <c:pt idx="9">
                  <c:v>43174</c:v>
                </c:pt>
                <c:pt idx="10">
                  <c:v>43205</c:v>
                </c:pt>
                <c:pt idx="11">
                  <c:v>43235</c:v>
                </c:pt>
                <c:pt idx="12">
                  <c:v>43266</c:v>
                </c:pt>
                <c:pt idx="13">
                  <c:v>43296</c:v>
                </c:pt>
                <c:pt idx="14">
                  <c:v>43327</c:v>
                </c:pt>
                <c:pt idx="15">
                  <c:v>43358</c:v>
                </c:pt>
                <c:pt idx="16">
                  <c:v>43388</c:v>
                </c:pt>
                <c:pt idx="17">
                  <c:v>43419</c:v>
                </c:pt>
                <c:pt idx="18">
                  <c:v>43449</c:v>
                </c:pt>
                <c:pt idx="19">
                  <c:v>43480</c:v>
                </c:pt>
                <c:pt idx="20">
                  <c:v>43511</c:v>
                </c:pt>
                <c:pt idx="21">
                  <c:v>43539</c:v>
                </c:pt>
                <c:pt idx="22">
                  <c:v>43570</c:v>
                </c:pt>
                <c:pt idx="23">
                  <c:v>43600</c:v>
                </c:pt>
                <c:pt idx="24">
                  <c:v>43631</c:v>
                </c:pt>
                <c:pt idx="25">
                  <c:v>43661</c:v>
                </c:pt>
                <c:pt idx="26">
                  <c:v>43692</c:v>
                </c:pt>
                <c:pt idx="27">
                  <c:v>43723</c:v>
                </c:pt>
                <c:pt idx="28">
                  <c:v>43753</c:v>
                </c:pt>
                <c:pt idx="29">
                  <c:v>43784</c:v>
                </c:pt>
                <c:pt idx="30">
                  <c:v>43814</c:v>
                </c:pt>
                <c:pt idx="31">
                  <c:v>43845</c:v>
                </c:pt>
                <c:pt idx="32">
                  <c:v>43876</c:v>
                </c:pt>
                <c:pt idx="33">
                  <c:v>43905</c:v>
                </c:pt>
                <c:pt idx="34">
                  <c:v>43936</c:v>
                </c:pt>
                <c:pt idx="35">
                  <c:v>43966</c:v>
                </c:pt>
                <c:pt idx="36">
                  <c:v>43997</c:v>
                </c:pt>
                <c:pt idx="37">
                  <c:v>44027</c:v>
                </c:pt>
                <c:pt idx="38">
                  <c:v>44058</c:v>
                </c:pt>
                <c:pt idx="39">
                  <c:v>44089</c:v>
                </c:pt>
                <c:pt idx="40">
                  <c:v>44119</c:v>
                </c:pt>
                <c:pt idx="41">
                  <c:v>44150</c:v>
                </c:pt>
                <c:pt idx="42">
                  <c:v>44180</c:v>
                </c:pt>
                <c:pt idx="43">
                  <c:v>44211</c:v>
                </c:pt>
                <c:pt idx="44">
                  <c:v>44242</c:v>
                </c:pt>
                <c:pt idx="45">
                  <c:v>44270</c:v>
                </c:pt>
                <c:pt idx="46">
                  <c:v>44301</c:v>
                </c:pt>
                <c:pt idx="47">
                  <c:v>44331</c:v>
                </c:pt>
                <c:pt idx="48">
                  <c:v>44362</c:v>
                </c:pt>
                <c:pt idx="49">
                  <c:v>44392</c:v>
                </c:pt>
                <c:pt idx="50">
                  <c:v>44423</c:v>
                </c:pt>
                <c:pt idx="51">
                  <c:v>44454</c:v>
                </c:pt>
                <c:pt idx="52">
                  <c:v>44484</c:v>
                </c:pt>
                <c:pt idx="53">
                  <c:v>44515</c:v>
                </c:pt>
                <c:pt idx="54">
                  <c:v>44545</c:v>
                </c:pt>
                <c:pt idx="55">
                  <c:v>44576</c:v>
                </c:pt>
                <c:pt idx="56">
                  <c:v>44607</c:v>
                </c:pt>
                <c:pt idx="57">
                  <c:v>44635</c:v>
                </c:pt>
                <c:pt idx="58">
                  <c:v>44666</c:v>
                </c:pt>
                <c:pt idx="59">
                  <c:v>44696</c:v>
                </c:pt>
                <c:pt idx="60">
                  <c:v>44727</c:v>
                </c:pt>
                <c:pt idx="61">
                  <c:v>44742</c:v>
                </c:pt>
              </c:numCache>
            </c:numRef>
          </c:xVal>
          <c:yVal>
            <c:numRef>
              <c:f>'HB 61 Charts Helper'!$O$14:$O$75</c:f>
              <c:numCache>
                <c:formatCode>_(* #,##0_);_(* \(#,##0\);_(* "-"??_);_(@_)</c:formatCode>
                <c:ptCount val="62"/>
                <c:pt idx="0">
                  <c:v>11670.469051503305</c:v>
                </c:pt>
                <c:pt idx="1">
                  <c:v>11717.121374616017</c:v>
                </c:pt>
                <c:pt idx="2">
                  <c:v>11813.536175715624</c:v>
                </c:pt>
                <c:pt idx="3">
                  <c:v>11909.950976815231</c:v>
                </c:pt>
                <c:pt idx="4">
                  <c:v>12003.255623040657</c:v>
                </c:pt>
                <c:pt idx="5">
                  <c:v>12099.670424140264</c:v>
                </c:pt>
                <c:pt idx="6">
                  <c:v>12192.97507036569</c:v>
                </c:pt>
                <c:pt idx="7">
                  <c:v>12289.389871465297</c:v>
                </c:pt>
                <c:pt idx="8">
                  <c:v>12385.804672564904</c:v>
                </c:pt>
                <c:pt idx="9">
                  <c:v>12472.889009041968</c:v>
                </c:pt>
                <c:pt idx="10">
                  <c:v>12569.303810141573</c:v>
                </c:pt>
                <c:pt idx="11">
                  <c:v>12662.608456366999</c:v>
                </c:pt>
                <c:pt idx="12">
                  <c:v>12759.023257466606</c:v>
                </c:pt>
                <c:pt idx="13">
                  <c:v>12856.238567607981</c:v>
                </c:pt>
                <c:pt idx="14">
                  <c:v>12960.735407467213</c:v>
                </c:pt>
                <c:pt idx="15">
                  <c:v>13065.232247326447</c:v>
                </c:pt>
                <c:pt idx="16">
                  <c:v>13166.358221383769</c:v>
                </c:pt>
                <c:pt idx="17">
                  <c:v>13270.855061243001</c:v>
                </c:pt>
                <c:pt idx="18">
                  <c:v>13371.981035300323</c:v>
                </c:pt>
                <c:pt idx="19">
                  <c:v>13476.477875159555</c:v>
                </c:pt>
                <c:pt idx="20">
                  <c:v>13580.974715018789</c:v>
                </c:pt>
                <c:pt idx="21">
                  <c:v>13675.358957472288</c:v>
                </c:pt>
                <c:pt idx="22">
                  <c:v>13779.855797331522</c:v>
                </c:pt>
                <c:pt idx="23">
                  <c:v>13880.981771388844</c:v>
                </c:pt>
                <c:pt idx="24">
                  <c:v>13985.478611248076</c:v>
                </c:pt>
                <c:pt idx="25">
                  <c:v>13991.153843611557</c:v>
                </c:pt>
                <c:pt idx="26">
                  <c:v>13898.385817303517</c:v>
                </c:pt>
                <c:pt idx="27">
                  <c:v>13805.617790995479</c:v>
                </c:pt>
                <c:pt idx="28">
                  <c:v>13715.842281665116</c:v>
                </c:pt>
                <c:pt idx="29">
                  <c:v>13623.074255357078</c:v>
                </c:pt>
                <c:pt idx="30">
                  <c:v>13533.298746026716</c:v>
                </c:pt>
                <c:pt idx="31">
                  <c:v>13440.530719718678</c:v>
                </c:pt>
                <c:pt idx="32">
                  <c:v>13347.762693410637</c:v>
                </c:pt>
                <c:pt idx="33">
                  <c:v>13260.979701057955</c:v>
                </c:pt>
                <c:pt idx="34">
                  <c:v>13168.211674749915</c:v>
                </c:pt>
                <c:pt idx="35">
                  <c:v>13078.436165419555</c:v>
                </c:pt>
                <c:pt idx="36">
                  <c:v>12985.668139111516</c:v>
                </c:pt>
                <c:pt idx="37">
                  <c:v>12879.750886627115</c:v>
                </c:pt>
                <c:pt idx="38">
                  <c:v>12753.623257800728</c:v>
                </c:pt>
                <c:pt idx="39">
                  <c:v>12627.495628974342</c:v>
                </c:pt>
                <c:pt idx="40">
                  <c:v>12505.436633335903</c:v>
                </c:pt>
                <c:pt idx="41">
                  <c:v>12379.309004509516</c:v>
                </c:pt>
                <c:pt idx="42">
                  <c:v>12257.250008871079</c:v>
                </c:pt>
                <c:pt idx="43">
                  <c:v>12131.122380044691</c:v>
                </c:pt>
                <c:pt idx="44">
                  <c:v>12004.994751218306</c:v>
                </c:pt>
                <c:pt idx="45">
                  <c:v>11891.073021955763</c:v>
                </c:pt>
                <c:pt idx="46">
                  <c:v>11764.945393129376</c:v>
                </c:pt>
                <c:pt idx="47">
                  <c:v>11642.886397490938</c:v>
                </c:pt>
                <c:pt idx="48">
                  <c:v>11516.758768664551</c:v>
                </c:pt>
                <c:pt idx="49">
                  <c:v>11385.235193736542</c:v>
                </c:pt>
                <c:pt idx="50">
                  <c:v>11239.547434378379</c:v>
                </c:pt>
                <c:pt idx="51">
                  <c:v>11093.859675020214</c:v>
                </c:pt>
                <c:pt idx="52">
                  <c:v>10952.871520802637</c:v>
                </c:pt>
                <c:pt idx="53">
                  <c:v>10807.183761444472</c:v>
                </c:pt>
                <c:pt idx="54">
                  <c:v>10666.195607226895</c:v>
                </c:pt>
                <c:pt idx="55">
                  <c:v>10520.50784786873</c:v>
                </c:pt>
                <c:pt idx="56">
                  <c:v>10374.820088510565</c:v>
                </c:pt>
                <c:pt idx="57">
                  <c:v>10243.23114457416</c:v>
                </c:pt>
                <c:pt idx="58">
                  <c:v>10097.543385215995</c:v>
                </c:pt>
                <c:pt idx="59">
                  <c:v>9956.5552309984178</c:v>
                </c:pt>
                <c:pt idx="60">
                  <c:v>9810.8674716402529</c:v>
                </c:pt>
                <c:pt idx="61">
                  <c:v>9740.3733945314652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5FC-48DA-AB67-F1D15AAFB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2562816"/>
        <c:axId val="272573184"/>
      </c:scatterChart>
      <c:valAx>
        <c:axId val="272562816"/>
        <c:scaling>
          <c:orientation val="minMax"/>
          <c:max val="44742"/>
          <c:min val="42916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&quot;30-&quot;mmm\-yy" sourceLinked="0"/>
        <c:majorTickMark val="out"/>
        <c:minorTickMark val="none"/>
        <c:tickLblPos val="nextTo"/>
        <c:crossAx val="272573184"/>
        <c:crosses val="autoZero"/>
        <c:crossBetween val="midCat"/>
        <c:majorUnit val="365"/>
      </c:valAx>
      <c:valAx>
        <c:axId val="272573184"/>
        <c:scaling>
          <c:orientation val="minMax"/>
          <c:max val="2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$ billions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272562816"/>
        <c:crosses val="autoZero"/>
        <c:crossBetween val="midCat"/>
        <c:dispUnits>
          <c:builtInUnit val="thousands"/>
        </c:dispUnits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Dividend Check Forecast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With HB 115</c:v>
          </c:tx>
          <c:spPr>
            <a:ln>
              <a:solidFill>
                <a:srgbClr val="0070C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'HB61'!$C$106:$G$106</c:f>
              <c:numCache>
                <c:formatCode>[$-409]mmm\-yyyy;@</c:formatCode>
                <c:ptCount val="5"/>
                <c:pt idx="0">
                  <c:v>43009</c:v>
                </c:pt>
                <c:pt idx="1">
                  <c:v>43374</c:v>
                </c:pt>
                <c:pt idx="2">
                  <c:v>43739</c:v>
                </c:pt>
                <c:pt idx="3">
                  <c:v>44105</c:v>
                </c:pt>
                <c:pt idx="4">
                  <c:v>44470</c:v>
                </c:pt>
              </c:numCache>
            </c:numRef>
          </c:cat>
          <c:val>
            <c:numRef>
              <c:f>'HB 115'!$C$73:$G$73</c:f>
              <c:numCache>
                <c:formatCode>#,##0_);[Red]\(#,##0\)</c:formatCode>
                <c:ptCount val="5"/>
                <c:pt idx="0">
                  <c:v>1250</c:v>
                </c:pt>
                <c:pt idx="1">
                  <c:v>1287.0040354292198</c:v>
                </c:pt>
                <c:pt idx="2">
                  <c:v>1268.6639763309047</c:v>
                </c:pt>
                <c:pt idx="3">
                  <c:v>1288.2068463444652</c:v>
                </c:pt>
                <c:pt idx="4">
                  <c:v>1306.6630569544184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91-4379-AB97-208960EE7037}"/>
            </c:ext>
          </c:extLst>
        </c:ser>
        <c:ser>
          <c:idx val="1"/>
          <c:order val="1"/>
          <c:tx>
            <c:v>Status Quo</c:v>
          </c:tx>
          <c:spPr>
            <a:ln>
              <a:solidFill>
                <a:srgbClr val="C00000"/>
              </a:solidFill>
            </a:ln>
          </c:spPr>
          <c:invertIfNegative val="0"/>
          <c:dPt>
            <c:idx val="3"/>
            <c:invertIfNegative val="0"/>
            <c:bubble3D val="0"/>
            <c:spPr>
              <a:noFill/>
              <a:ln w="254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AA91-4379-AB97-208960EE7037}"/>
              </c:ext>
            </c:extLst>
          </c:dPt>
          <c:dPt>
            <c:idx val="4"/>
            <c:invertIfNegative val="0"/>
            <c:bubble3D val="0"/>
            <c:spPr>
              <a:noFill/>
              <a:ln w="254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AA91-4379-AB97-208960EE703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'HB61'!$C$106:$G$106</c:f>
              <c:numCache>
                <c:formatCode>[$-409]mmm\-yyyy;@</c:formatCode>
                <c:ptCount val="5"/>
                <c:pt idx="0">
                  <c:v>43009</c:v>
                </c:pt>
                <c:pt idx="1">
                  <c:v>43374</c:v>
                </c:pt>
                <c:pt idx="2">
                  <c:v>43739</c:v>
                </c:pt>
                <c:pt idx="3">
                  <c:v>44105</c:v>
                </c:pt>
                <c:pt idx="4">
                  <c:v>44470</c:v>
                </c:pt>
              </c:numCache>
            </c:numRef>
          </c:cat>
          <c:val>
            <c:numRef>
              <c:f>'HB61'!$C$108:$G$108</c:f>
              <c:numCache>
                <c:formatCode>#,##0_);[Red]\(#,##0\)</c:formatCode>
                <c:ptCount val="5"/>
                <c:pt idx="0">
                  <c:v>2240.4135886896033</c:v>
                </c:pt>
                <c:pt idx="1">
                  <c:v>2293.4589332172404</c:v>
                </c:pt>
                <c:pt idx="2">
                  <c:v>2275.760482349207</c:v>
                </c:pt>
                <c:pt idx="3">
                  <c:v>2380.838917196153</c:v>
                </c:pt>
                <c:pt idx="4">
                  <c:v>2599.0175137051265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91-4379-AB97-208960EE7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747904"/>
        <c:axId val="302461696"/>
      </c:barChart>
      <c:catAx>
        <c:axId val="272747904"/>
        <c:scaling>
          <c:orientation val="minMax"/>
        </c:scaling>
        <c:delete val="0"/>
        <c:axPos val="b"/>
        <c:numFmt formatCode="[$-409]mmm\-yyyy;@" sourceLinked="1"/>
        <c:majorTickMark val="out"/>
        <c:minorTickMark val="none"/>
        <c:tickLblPos val="nextTo"/>
        <c:crossAx val="302461696"/>
        <c:crosses val="autoZero"/>
        <c:auto val="0"/>
        <c:lblAlgn val="ctr"/>
        <c:lblOffset val="100"/>
        <c:noMultiLvlLbl val="0"/>
      </c:catAx>
      <c:valAx>
        <c:axId val="30246169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$ per Recipient</a:t>
                </a:r>
              </a:p>
            </c:rich>
          </c:tx>
          <c:overlay val="0"/>
        </c:title>
        <c:numFmt formatCode="&quot;$&quot;#,##0_);\(&quot;$&quot;#,##0\)" sourceLinked="0"/>
        <c:majorTickMark val="out"/>
        <c:minorTickMark val="none"/>
        <c:tickLblPos val="nextTo"/>
        <c:crossAx val="27274790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Constitutional Budget Reserve +</a:t>
            </a:r>
            <a:r>
              <a:rPr lang="en-US" sz="1600" baseline="0"/>
              <a:t> Misc Funds</a:t>
            </a:r>
            <a:endParaRPr lang="en-US" sz="1600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'SB 26 Charts'!$B$4</c:f>
              <c:strCache>
                <c:ptCount val="1"/>
                <c:pt idx="0">
                  <c:v>With SB 26</c:v>
                </c:pt>
              </c:strCache>
            </c:strRef>
          </c:tx>
          <c:marker>
            <c:symbol val="none"/>
          </c:marker>
          <c:xVal>
            <c:numRef>
              <c:f>'SB 70 Charts Helper'!$A$11:$A$72</c:f>
              <c:numCache>
                <c:formatCode>d\-mmm\-yy</c:formatCode>
                <c:ptCount val="62"/>
                <c:pt idx="0">
                  <c:v>42916</c:v>
                </c:pt>
                <c:pt idx="1">
                  <c:v>42931</c:v>
                </c:pt>
                <c:pt idx="2">
                  <c:v>42962</c:v>
                </c:pt>
                <c:pt idx="3">
                  <c:v>42993</c:v>
                </c:pt>
                <c:pt idx="4">
                  <c:v>43023</c:v>
                </c:pt>
                <c:pt idx="5">
                  <c:v>43054</c:v>
                </c:pt>
                <c:pt idx="6">
                  <c:v>43084</c:v>
                </c:pt>
                <c:pt idx="7">
                  <c:v>43115</c:v>
                </c:pt>
                <c:pt idx="8">
                  <c:v>43146</c:v>
                </c:pt>
                <c:pt idx="9">
                  <c:v>43174</c:v>
                </c:pt>
                <c:pt idx="10">
                  <c:v>43205</c:v>
                </c:pt>
                <c:pt idx="11">
                  <c:v>43235</c:v>
                </c:pt>
                <c:pt idx="12">
                  <c:v>43266</c:v>
                </c:pt>
                <c:pt idx="13">
                  <c:v>43296</c:v>
                </c:pt>
                <c:pt idx="14">
                  <c:v>43327</c:v>
                </c:pt>
                <c:pt idx="15">
                  <c:v>43358</c:v>
                </c:pt>
                <c:pt idx="16">
                  <c:v>43388</c:v>
                </c:pt>
                <c:pt idx="17">
                  <c:v>43419</c:v>
                </c:pt>
                <c:pt idx="18">
                  <c:v>43449</c:v>
                </c:pt>
                <c:pt idx="19">
                  <c:v>43480</c:v>
                </c:pt>
                <c:pt idx="20">
                  <c:v>43511</c:v>
                </c:pt>
                <c:pt idx="21">
                  <c:v>43539</c:v>
                </c:pt>
                <c:pt idx="22">
                  <c:v>43570</c:v>
                </c:pt>
                <c:pt idx="23">
                  <c:v>43600</c:v>
                </c:pt>
                <c:pt idx="24">
                  <c:v>43631</c:v>
                </c:pt>
                <c:pt idx="25">
                  <c:v>43661</c:v>
                </c:pt>
                <c:pt idx="26">
                  <c:v>43692</c:v>
                </c:pt>
                <c:pt idx="27">
                  <c:v>43723</c:v>
                </c:pt>
                <c:pt idx="28">
                  <c:v>43753</c:v>
                </c:pt>
                <c:pt idx="29">
                  <c:v>43784</c:v>
                </c:pt>
                <c:pt idx="30">
                  <c:v>43814</c:v>
                </c:pt>
                <c:pt idx="31">
                  <c:v>43845</c:v>
                </c:pt>
                <c:pt idx="32">
                  <c:v>43876</c:v>
                </c:pt>
                <c:pt idx="33">
                  <c:v>43905</c:v>
                </c:pt>
                <c:pt idx="34">
                  <c:v>43936</c:v>
                </c:pt>
                <c:pt idx="35">
                  <c:v>43966</c:v>
                </c:pt>
                <c:pt idx="36">
                  <c:v>43997</c:v>
                </c:pt>
                <c:pt idx="37">
                  <c:v>44027</c:v>
                </c:pt>
                <c:pt idx="38">
                  <c:v>44058</c:v>
                </c:pt>
                <c:pt idx="39">
                  <c:v>44089</c:v>
                </c:pt>
                <c:pt idx="40">
                  <c:v>44119</c:v>
                </c:pt>
                <c:pt idx="41">
                  <c:v>44150</c:v>
                </c:pt>
                <c:pt idx="42">
                  <c:v>44180</c:v>
                </c:pt>
                <c:pt idx="43">
                  <c:v>44211</c:v>
                </c:pt>
                <c:pt idx="44">
                  <c:v>44242</c:v>
                </c:pt>
                <c:pt idx="45">
                  <c:v>44270</c:v>
                </c:pt>
                <c:pt idx="46">
                  <c:v>44301</c:v>
                </c:pt>
                <c:pt idx="47">
                  <c:v>44331</c:v>
                </c:pt>
                <c:pt idx="48">
                  <c:v>44362</c:v>
                </c:pt>
                <c:pt idx="49">
                  <c:v>44392</c:v>
                </c:pt>
                <c:pt idx="50">
                  <c:v>44423</c:v>
                </c:pt>
                <c:pt idx="51">
                  <c:v>44454</c:v>
                </c:pt>
                <c:pt idx="52">
                  <c:v>44484</c:v>
                </c:pt>
                <c:pt idx="53">
                  <c:v>44515</c:v>
                </c:pt>
                <c:pt idx="54">
                  <c:v>44545</c:v>
                </c:pt>
                <c:pt idx="55">
                  <c:v>44576</c:v>
                </c:pt>
                <c:pt idx="56">
                  <c:v>44607</c:v>
                </c:pt>
                <c:pt idx="57">
                  <c:v>44635</c:v>
                </c:pt>
                <c:pt idx="58">
                  <c:v>44666</c:v>
                </c:pt>
                <c:pt idx="59">
                  <c:v>44696</c:v>
                </c:pt>
                <c:pt idx="60">
                  <c:v>44727</c:v>
                </c:pt>
                <c:pt idx="61">
                  <c:v>44742</c:v>
                </c:pt>
              </c:numCache>
            </c:numRef>
          </c:xVal>
          <c:yVal>
            <c:numRef>
              <c:f>'SB 70 Charts Helper'!$F$11:$F$72</c:f>
              <c:numCache>
                <c:formatCode>_(* #,##0_);_(* \(#,##0\);_(* "-"??_);_(@_)</c:formatCode>
                <c:ptCount val="62"/>
                <c:pt idx="0">
                  <c:v>6171.7926000000007</c:v>
                </c:pt>
                <c:pt idx="1">
                  <c:v>6111.2773842499764</c:v>
                </c:pt>
                <c:pt idx="2">
                  <c:v>5986.2126050332608</c:v>
                </c:pt>
                <c:pt idx="3">
                  <c:v>5861.1478258165444</c:v>
                </c:pt>
                <c:pt idx="4">
                  <c:v>5740.1173943164968</c:v>
                </c:pt>
                <c:pt idx="5">
                  <c:v>5615.0526150997812</c:v>
                </c:pt>
                <c:pt idx="6">
                  <c:v>5494.0221835997327</c:v>
                </c:pt>
                <c:pt idx="7">
                  <c:v>5368.9574043830171</c:v>
                </c:pt>
                <c:pt idx="8">
                  <c:v>5243.8926251663015</c:v>
                </c:pt>
                <c:pt idx="9">
                  <c:v>5130.9308890995899</c:v>
                </c:pt>
                <c:pt idx="10">
                  <c:v>5005.8661098828734</c:v>
                </c:pt>
                <c:pt idx="11">
                  <c:v>4884.8356783828258</c:v>
                </c:pt>
                <c:pt idx="12">
                  <c:v>4759.7708991661102</c:v>
                </c:pt>
                <c:pt idx="13">
                  <c:v>4683.2640647791222</c:v>
                </c:pt>
                <c:pt idx="14">
                  <c:v>4650.2147195960642</c:v>
                </c:pt>
                <c:pt idx="15">
                  <c:v>4617.1653744130062</c:v>
                </c:pt>
                <c:pt idx="16">
                  <c:v>4585.1821371390797</c:v>
                </c:pt>
                <c:pt idx="17">
                  <c:v>4552.1327919560217</c:v>
                </c:pt>
                <c:pt idx="18">
                  <c:v>4520.1495546820943</c:v>
                </c:pt>
                <c:pt idx="19">
                  <c:v>4487.1002094990372</c:v>
                </c:pt>
                <c:pt idx="20">
                  <c:v>4454.0508643159792</c:v>
                </c:pt>
                <c:pt idx="21">
                  <c:v>4424.1998428603138</c:v>
                </c:pt>
                <c:pt idx="22">
                  <c:v>4391.1504976772558</c:v>
                </c:pt>
                <c:pt idx="23">
                  <c:v>4359.1672604033283</c:v>
                </c:pt>
                <c:pt idx="24">
                  <c:v>4326.1179152202712</c:v>
                </c:pt>
                <c:pt idx="25">
                  <c:v>4303.4254542108501</c:v>
                </c:pt>
                <c:pt idx="26">
                  <c:v>4289.5770466411077</c:v>
                </c:pt>
                <c:pt idx="27">
                  <c:v>4275.7286390713643</c:v>
                </c:pt>
                <c:pt idx="28">
                  <c:v>4262.3269543264523</c:v>
                </c:pt>
                <c:pt idx="29">
                  <c:v>4248.478546756709</c:v>
                </c:pt>
                <c:pt idx="30">
                  <c:v>4235.0768620117969</c:v>
                </c:pt>
                <c:pt idx="31">
                  <c:v>4221.2284544420536</c:v>
                </c:pt>
                <c:pt idx="32">
                  <c:v>4207.3800468723111</c:v>
                </c:pt>
                <c:pt idx="33">
                  <c:v>4194.4250849522296</c:v>
                </c:pt>
                <c:pt idx="34">
                  <c:v>4180.5766773824862</c:v>
                </c:pt>
                <c:pt idx="35">
                  <c:v>4167.1749926375742</c:v>
                </c:pt>
                <c:pt idx="36">
                  <c:v>4153.3265850678308</c:v>
                </c:pt>
                <c:pt idx="37">
                  <c:v>4137.2218491751555</c:v>
                </c:pt>
                <c:pt idx="38">
                  <c:v>4117.7871359000364</c:v>
                </c:pt>
                <c:pt idx="39">
                  <c:v>4098.3524226249174</c:v>
                </c:pt>
                <c:pt idx="40">
                  <c:v>4079.5446355844797</c:v>
                </c:pt>
                <c:pt idx="41">
                  <c:v>4060.1099223093606</c:v>
                </c:pt>
                <c:pt idx="42">
                  <c:v>4041.3021352689225</c:v>
                </c:pt>
                <c:pt idx="43">
                  <c:v>4021.8674219938034</c:v>
                </c:pt>
                <c:pt idx="44">
                  <c:v>4002.4327087186844</c:v>
                </c:pt>
                <c:pt idx="45">
                  <c:v>3984.8787741476094</c:v>
                </c:pt>
                <c:pt idx="46">
                  <c:v>3965.4440608724904</c:v>
                </c:pt>
                <c:pt idx="47">
                  <c:v>3946.6362738320522</c:v>
                </c:pt>
                <c:pt idx="48">
                  <c:v>3927.2015605569331</c:v>
                </c:pt>
                <c:pt idx="49">
                  <c:v>3910.1464891957648</c:v>
                </c:pt>
                <c:pt idx="50">
                  <c:v>3894.3340549911359</c:v>
                </c:pt>
                <c:pt idx="51">
                  <c:v>3878.5216207865074</c:v>
                </c:pt>
                <c:pt idx="52">
                  <c:v>3863.2192651046084</c:v>
                </c:pt>
                <c:pt idx="53">
                  <c:v>3847.4068308999795</c:v>
                </c:pt>
                <c:pt idx="54">
                  <c:v>3832.1044752180806</c:v>
                </c:pt>
                <c:pt idx="55">
                  <c:v>3816.292041013452</c:v>
                </c:pt>
                <c:pt idx="56">
                  <c:v>3800.4796068088231</c:v>
                </c:pt>
                <c:pt idx="57">
                  <c:v>3786.1974081723838</c:v>
                </c:pt>
                <c:pt idx="58">
                  <c:v>3770.3849739677553</c:v>
                </c:pt>
                <c:pt idx="59">
                  <c:v>3755.0826182858564</c:v>
                </c:pt>
                <c:pt idx="60">
                  <c:v>3739.2701840812274</c:v>
                </c:pt>
                <c:pt idx="61">
                  <c:v>3731.6190062402779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C0E-4F4B-9573-16FF7996ECC7}"/>
            </c:ext>
          </c:extLst>
        </c:ser>
        <c:ser>
          <c:idx val="1"/>
          <c:order val="1"/>
          <c:tx>
            <c:v>Status Quo</c:v>
          </c:tx>
          <c:marker>
            <c:symbol val="none"/>
          </c:marker>
          <c:xVal>
            <c:numRef>
              <c:f>'HB 61 Charts Helper'!$A$14:$A$75</c:f>
              <c:numCache>
                <c:formatCode>d\-mmm\-yy</c:formatCode>
                <c:ptCount val="62"/>
                <c:pt idx="0">
                  <c:v>42916</c:v>
                </c:pt>
                <c:pt idx="1">
                  <c:v>42931</c:v>
                </c:pt>
                <c:pt idx="2">
                  <c:v>42962</c:v>
                </c:pt>
                <c:pt idx="3">
                  <c:v>42993</c:v>
                </c:pt>
                <c:pt idx="4">
                  <c:v>43023</c:v>
                </c:pt>
                <c:pt idx="5">
                  <c:v>43054</c:v>
                </c:pt>
                <c:pt idx="6">
                  <c:v>43084</c:v>
                </c:pt>
                <c:pt idx="7">
                  <c:v>43115</c:v>
                </c:pt>
                <c:pt idx="8">
                  <c:v>43146</c:v>
                </c:pt>
                <c:pt idx="9">
                  <c:v>43174</c:v>
                </c:pt>
                <c:pt idx="10">
                  <c:v>43205</c:v>
                </c:pt>
                <c:pt idx="11">
                  <c:v>43235</c:v>
                </c:pt>
                <c:pt idx="12">
                  <c:v>43266</c:v>
                </c:pt>
                <c:pt idx="13">
                  <c:v>43296</c:v>
                </c:pt>
                <c:pt idx="14">
                  <c:v>43327</c:v>
                </c:pt>
                <c:pt idx="15">
                  <c:v>43358</c:v>
                </c:pt>
                <c:pt idx="16">
                  <c:v>43388</c:v>
                </c:pt>
                <c:pt idx="17">
                  <c:v>43419</c:v>
                </c:pt>
                <c:pt idx="18">
                  <c:v>43449</c:v>
                </c:pt>
                <c:pt idx="19">
                  <c:v>43480</c:v>
                </c:pt>
                <c:pt idx="20">
                  <c:v>43511</c:v>
                </c:pt>
                <c:pt idx="21">
                  <c:v>43539</c:v>
                </c:pt>
                <c:pt idx="22">
                  <c:v>43570</c:v>
                </c:pt>
                <c:pt idx="23">
                  <c:v>43600</c:v>
                </c:pt>
                <c:pt idx="24">
                  <c:v>43631</c:v>
                </c:pt>
                <c:pt idx="25">
                  <c:v>43661</c:v>
                </c:pt>
                <c:pt idx="26">
                  <c:v>43692</c:v>
                </c:pt>
                <c:pt idx="27">
                  <c:v>43723</c:v>
                </c:pt>
                <c:pt idx="28">
                  <c:v>43753</c:v>
                </c:pt>
                <c:pt idx="29">
                  <c:v>43784</c:v>
                </c:pt>
                <c:pt idx="30">
                  <c:v>43814</c:v>
                </c:pt>
                <c:pt idx="31">
                  <c:v>43845</c:v>
                </c:pt>
                <c:pt idx="32">
                  <c:v>43876</c:v>
                </c:pt>
                <c:pt idx="33">
                  <c:v>43905</c:v>
                </c:pt>
                <c:pt idx="34">
                  <c:v>43936</c:v>
                </c:pt>
                <c:pt idx="35">
                  <c:v>43966</c:v>
                </c:pt>
                <c:pt idx="36">
                  <c:v>43997</c:v>
                </c:pt>
                <c:pt idx="37">
                  <c:v>44027</c:v>
                </c:pt>
                <c:pt idx="38">
                  <c:v>44058</c:v>
                </c:pt>
                <c:pt idx="39">
                  <c:v>44089</c:v>
                </c:pt>
                <c:pt idx="40">
                  <c:v>44119</c:v>
                </c:pt>
                <c:pt idx="41">
                  <c:v>44150</c:v>
                </c:pt>
                <c:pt idx="42">
                  <c:v>44180</c:v>
                </c:pt>
                <c:pt idx="43">
                  <c:v>44211</c:v>
                </c:pt>
                <c:pt idx="44">
                  <c:v>44242</c:v>
                </c:pt>
                <c:pt idx="45">
                  <c:v>44270</c:v>
                </c:pt>
                <c:pt idx="46">
                  <c:v>44301</c:v>
                </c:pt>
                <c:pt idx="47">
                  <c:v>44331</c:v>
                </c:pt>
                <c:pt idx="48">
                  <c:v>44362</c:v>
                </c:pt>
                <c:pt idx="49">
                  <c:v>44392</c:v>
                </c:pt>
                <c:pt idx="50">
                  <c:v>44423</c:v>
                </c:pt>
                <c:pt idx="51">
                  <c:v>44454</c:v>
                </c:pt>
                <c:pt idx="52">
                  <c:v>44484</c:v>
                </c:pt>
                <c:pt idx="53">
                  <c:v>44515</c:v>
                </c:pt>
                <c:pt idx="54">
                  <c:v>44545</c:v>
                </c:pt>
                <c:pt idx="55">
                  <c:v>44576</c:v>
                </c:pt>
                <c:pt idx="56">
                  <c:v>44607</c:v>
                </c:pt>
                <c:pt idx="57">
                  <c:v>44635</c:v>
                </c:pt>
                <c:pt idx="58">
                  <c:v>44666</c:v>
                </c:pt>
                <c:pt idx="59">
                  <c:v>44696</c:v>
                </c:pt>
                <c:pt idx="60">
                  <c:v>44727</c:v>
                </c:pt>
                <c:pt idx="61">
                  <c:v>44742</c:v>
                </c:pt>
              </c:numCache>
            </c:numRef>
          </c:xVal>
          <c:yVal>
            <c:numRef>
              <c:f>'HB 61 Charts Helper'!$F$14:$F$75</c:f>
              <c:numCache>
                <c:formatCode>_(* #,##0_);_(* \(#,##0\);_(* "-"??_);_(@_)</c:formatCode>
                <c:ptCount val="62"/>
                <c:pt idx="0">
                  <c:v>6171.7926000000007</c:v>
                </c:pt>
                <c:pt idx="1">
                  <c:v>6032.391500800275</c:v>
                </c:pt>
                <c:pt idx="2">
                  <c:v>5744.2958957875071</c:v>
                </c:pt>
                <c:pt idx="3">
                  <c:v>5456.2002907747401</c:v>
                </c:pt>
                <c:pt idx="4">
                  <c:v>5177.3980923752879</c:v>
                </c:pt>
                <c:pt idx="5">
                  <c:v>4889.3024873625209</c:v>
                </c:pt>
                <c:pt idx="6">
                  <c:v>4610.5002889630687</c:v>
                </c:pt>
                <c:pt idx="7">
                  <c:v>4322.4046839503017</c:v>
                </c:pt>
                <c:pt idx="8">
                  <c:v>4034.3090789375347</c:v>
                </c:pt>
                <c:pt idx="9">
                  <c:v>3774.0936937647125</c:v>
                </c:pt>
                <c:pt idx="10">
                  <c:v>3485.9980887519455</c:v>
                </c:pt>
                <c:pt idx="11">
                  <c:v>3207.1958903524937</c:v>
                </c:pt>
                <c:pt idx="12">
                  <c:v>2919.1002853397263</c:v>
                </c:pt>
                <c:pt idx="13">
                  <c:v>2675.4160479131283</c:v>
                </c:pt>
                <c:pt idx="14">
                  <c:v>2459.897562244259</c:v>
                </c:pt>
                <c:pt idx="15">
                  <c:v>2244.3790765753902</c:v>
                </c:pt>
                <c:pt idx="16">
                  <c:v>2035.812800121646</c:v>
                </c:pt>
                <c:pt idx="17">
                  <c:v>1820.2943144527771</c:v>
                </c:pt>
                <c:pt idx="18">
                  <c:v>1611.7280379990329</c:v>
                </c:pt>
                <c:pt idx="19">
                  <c:v>1396.2095523301639</c:v>
                </c:pt>
                <c:pt idx="20">
                  <c:v>1180.6910666612951</c:v>
                </c:pt>
                <c:pt idx="21">
                  <c:v>986.02920863780037</c:v>
                </c:pt>
                <c:pt idx="22">
                  <c:v>770.51072296893153</c:v>
                </c:pt>
                <c:pt idx="23">
                  <c:v>561.94444651518734</c:v>
                </c:pt>
                <c:pt idx="24">
                  <c:v>346.4259608463185</c:v>
                </c:pt>
                <c:pt idx="25">
                  <c:v>140.19610130797076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C0E-4F4B-9573-16FF7996E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010624"/>
        <c:axId val="182012160"/>
      </c:scatterChart>
      <c:valAx>
        <c:axId val="182010624"/>
        <c:scaling>
          <c:orientation val="minMax"/>
          <c:max val="44742"/>
          <c:min val="42916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&quot;30-&quot;mmm\-yy" sourceLinked="0"/>
        <c:majorTickMark val="out"/>
        <c:minorTickMark val="none"/>
        <c:tickLblPos val="nextTo"/>
        <c:crossAx val="182012160"/>
        <c:crosses val="autoZero"/>
        <c:crossBetween val="midCat"/>
        <c:majorUnit val="365"/>
      </c:valAx>
      <c:valAx>
        <c:axId val="182012160"/>
        <c:scaling>
          <c:orientation val="minMax"/>
          <c:max val="9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$ billions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82010624"/>
        <c:crosses val="autoZero"/>
        <c:crossBetween val="midCat"/>
        <c:dispUnits>
          <c:builtInUnit val="thousands"/>
        </c:dispUnits>
      </c:valAx>
    </c:plotArea>
    <c:legend>
      <c:legendPos val="t"/>
      <c:overlay val="0"/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 horizontalDpi="-3" verticalDpi="-3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pin" dx="26" fmlaLink="D10" max="10" page="10" val="0"/>
</file>

<file path=xl/ctrlProps/ctrlProp10.xml><?xml version="1.0" encoding="utf-8"?>
<formControlPr xmlns="http://schemas.microsoft.com/office/spreadsheetml/2009/9/main" objectType="CheckBox" fmlaLink="$A$38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CheckBox" fmlaLink="$A$19" lockText="1"/>
</file>

<file path=xl/ctrlProps/ctrlProp14.xml><?xml version="1.0" encoding="utf-8"?>
<formControlPr xmlns="http://schemas.microsoft.com/office/spreadsheetml/2009/9/main" objectType="CheckBox" checked="Checked" fmlaLink="$A$25" lockText="1"/>
</file>

<file path=xl/ctrlProps/ctrlProp2.xml><?xml version="1.0" encoding="utf-8"?>
<formControlPr xmlns="http://schemas.microsoft.com/office/spreadsheetml/2009/9/main" objectType="List" dx="26" fmlaLink="B5" fmlaRange="A90:A91" sel="1" val="0"/>
</file>

<file path=xl/ctrlProps/ctrlProp3.xml><?xml version="1.0" encoding="utf-8"?>
<formControlPr xmlns="http://schemas.microsoft.com/office/spreadsheetml/2009/9/main" objectType="CheckBox" fmlaLink="G8" lockText="1"/>
</file>

<file path=xl/ctrlProps/ctrlProp4.xml><?xml version="1.0" encoding="utf-8"?>
<formControlPr xmlns="http://schemas.microsoft.com/office/spreadsheetml/2009/9/main" objectType="CheckBox" checked="Checked" fmlaLink="K8" lockText="1"/>
</file>

<file path=xl/ctrlProps/ctrlProp5.xml><?xml version="1.0" encoding="utf-8"?>
<formControlPr xmlns="http://schemas.microsoft.com/office/spreadsheetml/2009/9/main" objectType="Scroll" dx="15" fmlaLink="$A$5" horiz="1" inc="20" max="2500" page="100" val="1300"/>
</file>

<file path=xl/ctrlProps/ctrlProp6.xml><?xml version="1.0" encoding="utf-8"?>
<formControlPr xmlns="http://schemas.microsoft.com/office/spreadsheetml/2009/9/main" objectType="Scroll" dx="15" fmlaLink="$G$6" horiz="1" inc="5" max="600" page="20" val="225"/>
</file>

<file path=xl/ctrlProps/ctrlProp7.xml><?xml version="1.0" encoding="utf-8"?>
<formControlPr xmlns="http://schemas.microsoft.com/office/spreadsheetml/2009/9/main" objectType="CheckBox" fmlaLink="H28" lockText="1"/>
</file>

<file path=xl/ctrlProps/ctrlProp8.xml><?xml version="1.0" encoding="utf-8"?>
<formControlPr xmlns="http://schemas.microsoft.com/office/spreadsheetml/2009/9/main" objectType="CheckBox" fmlaLink="$A$19" lockText="1"/>
</file>

<file path=xl/ctrlProps/ctrlProp9.xml><?xml version="1.0" encoding="utf-8"?>
<formControlPr xmlns="http://schemas.microsoft.com/office/spreadsheetml/2009/9/main" objectType="CheckBox" checked="Checked" fmlaLink="$A$20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57150</xdr:colOff>
          <xdr:row>6</xdr:row>
          <xdr:rowOff>180975</xdr:rowOff>
        </xdr:from>
        <xdr:to>
          <xdr:col>4</xdr:col>
          <xdr:colOff>314325</xdr:colOff>
          <xdr:row>8</xdr:row>
          <xdr:rowOff>19050</xdr:rowOff>
        </xdr:to>
        <xdr:sp macro="" textlink="">
          <xdr:nvSpPr>
            <xdr:cNvPr id="152578" name="Spinner 2" hidden="1">
              <a:extLst>
                <a:ext uri="{63B3BB69-23CF-44E3-9099-C40C66FF867C}">
                  <a14:compatExt spid="_x0000_s152578"/>
                </a:ext>
                <a:ext uri="{FF2B5EF4-FFF2-40B4-BE49-F238E27FC236}">
                  <a16:creationId xmlns:a16="http://schemas.microsoft.com/office/drawing/2014/main" id="{00000000-0008-0000-0000-0000025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71120</xdr:colOff>
      <xdr:row>9</xdr:row>
      <xdr:rowOff>2540</xdr:rowOff>
    </xdr:from>
    <xdr:to>
      <xdr:col>4</xdr:col>
      <xdr:colOff>375920</xdr:colOff>
      <xdr:row>27</xdr:row>
      <xdr:rowOff>119380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388620</xdr:colOff>
      <xdr:row>9</xdr:row>
      <xdr:rowOff>6350</xdr:rowOff>
    </xdr:from>
    <xdr:to>
      <xdr:col>9</xdr:col>
      <xdr:colOff>477520</xdr:colOff>
      <xdr:row>28</xdr:row>
      <xdr:rowOff>6350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</xdr:row>
          <xdr:rowOff>28575</xdr:rowOff>
        </xdr:from>
        <xdr:to>
          <xdr:col>2</xdr:col>
          <xdr:colOff>647700</xdr:colOff>
          <xdr:row>5</xdr:row>
          <xdr:rowOff>9525</xdr:rowOff>
        </xdr:to>
        <xdr:sp macro="" textlink="">
          <xdr:nvSpPr>
            <xdr:cNvPr id="152583" name="List Box 7" hidden="1">
              <a:extLst>
                <a:ext uri="{63B3BB69-23CF-44E3-9099-C40C66FF867C}">
                  <a14:compatExt spid="_x0000_s152583"/>
                </a:ext>
                <a:ext uri="{FF2B5EF4-FFF2-40B4-BE49-F238E27FC236}">
                  <a16:creationId xmlns:a16="http://schemas.microsoft.com/office/drawing/2014/main" id="{00000000-0008-0000-0000-0000075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</xdr:row>
          <xdr:rowOff>171450</xdr:rowOff>
        </xdr:from>
        <xdr:to>
          <xdr:col>9</xdr:col>
          <xdr:colOff>485775</xdr:colOff>
          <xdr:row>8</xdr:row>
          <xdr:rowOff>19050</xdr:rowOff>
        </xdr:to>
        <xdr:sp macro="" textlink="">
          <xdr:nvSpPr>
            <xdr:cNvPr id="152584" name="Check Box 8" hidden="1">
              <a:extLst>
                <a:ext uri="{63B3BB69-23CF-44E3-9099-C40C66FF867C}">
                  <a14:compatExt spid="_x0000_s152584"/>
                </a:ext>
                <a:ext uri="{FF2B5EF4-FFF2-40B4-BE49-F238E27FC236}">
                  <a16:creationId xmlns:a16="http://schemas.microsoft.com/office/drawing/2014/main" id="{00000000-0008-0000-0000-0000085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AEAEA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Use Forecasted Returns instead of Historical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502920</xdr:colOff>
      <xdr:row>9</xdr:row>
      <xdr:rowOff>20320</xdr:rowOff>
    </xdr:from>
    <xdr:to>
      <xdr:col>15</xdr:col>
      <xdr:colOff>457200</xdr:colOff>
      <xdr:row>28</xdr:row>
      <xdr:rowOff>5080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571500</xdr:colOff>
          <xdr:row>6</xdr:row>
          <xdr:rowOff>171450</xdr:rowOff>
        </xdr:from>
        <xdr:to>
          <xdr:col>12</xdr:col>
          <xdr:colOff>95250</xdr:colOff>
          <xdr:row>8</xdr:row>
          <xdr:rowOff>19050</xdr:rowOff>
        </xdr:to>
        <xdr:sp macro="" textlink="">
          <xdr:nvSpPr>
            <xdr:cNvPr id="152593" name="Check Box 17" hidden="1">
              <a:extLst>
                <a:ext uri="{63B3BB69-23CF-44E3-9099-C40C66FF867C}">
                  <a14:compatExt spid="_x0000_s152593"/>
                </a:ext>
                <a:ext uri="{FF2B5EF4-FFF2-40B4-BE49-F238E27FC236}">
                  <a16:creationId xmlns:a16="http://schemas.microsoft.com/office/drawing/2014/main" id="{00000000-0008-0000-0000-0000115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AEAEA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Limit Earnings Reserve</a:t>
              </a:r>
            </a:p>
          </xdr:txBody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18</xdr:row>
          <xdr:rowOff>38100</xdr:rowOff>
        </xdr:from>
        <xdr:to>
          <xdr:col>0</xdr:col>
          <xdr:colOff>2714625</xdr:colOff>
          <xdr:row>18</xdr:row>
          <xdr:rowOff>209550</xdr:rowOff>
        </xdr:to>
        <xdr:sp macro="" textlink="">
          <xdr:nvSpPr>
            <xdr:cNvPr id="163842" name="Check Box 2" descr=" Eliminate Inflation Proofing (not in bill)" hidden="1">
              <a:extLst>
                <a:ext uri="{63B3BB69-23CF-44E3-9099-C40C66FF867C}">
                  <a14:compatExt spid="_x0000_s163842"/>
                </a:ext>
                <a:ext uri="{FF2B5EF4-FFF2-40B4-BE49-F238E27FC236}">
                  <a16:creationId xmlns:a16="http://schemas.microsoft.com/office/drawing/2014/main" id="{00000000-0008-0000-1200-0000028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Reduce Royalty PF Deposits to 25%</a:t>
              </a:r>
            </a:p>
          </xdr:txBody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7</xdr:col>
      <xdr:colOff>600074</xdr:colOff>
      <xdr:row>24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257174</xdr:colOff>
      <xdr:row>8</xdr:row>
      <xdr:rowOff>161925</xdr:rowOff>
    </xdr:from>
    <xdr:to>
      <xdr:col>16</xdr:col>
      <xdr:colOff>209549</xdr:colOff>
      <xdr:row>24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26</xdr:row>
      <xdr:rowOff>28575</xdr:rowOff>
    </xdr:from>
    <xdr:to>
      <xdr:col>7</xdr:col>
      <xdr:colOff>600075</xdr:colOff>
      <xdr:row>41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361950</xdr:colOff>
      <xdr:row>26</xdr:row>
      <xdr:rowOff>19049</xdr:rowOff>
    </xdr:from>
    <xdr:to>
      <xdr:col>16</xdr:col>
      <xdr:colOff>323850</xdr:colOff>
      <xdr:row>41</xdr:row>
      <xdr:rowOff>180974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24</xdr:row>
          <xdr:rowOff>28575</xdr:rowOff>
        </xdr:from>
        <xdr:to>
          <xdr:col>0</xdr:col>
          <xdr:colOff>2495550</xdr:colOff>
          <xdr:row>24</xdr:row>
          <xdr:rowOff>200025</xdr:rowOff>
        </xdr:to>
        <xdr:sp macro="" textlink="">
          <xdr:nvSpPr>
            <xdr:cNvPr id="126979" name="Check Box 3" descr=" Eliminate Inflation Proofing (not in bill)" hidden="1">
              <a:extLst>
                <a:ext uri="{63B3BB69-23CF-44E3-9099-C40C66FF867C}">
                  <a14:compatExt spid="_x0000_s126979"/>
                </a:ext>
                <a:ext uri="{FF2B5EF4-FFF2-40B4-BE49-F238E27FC236}">
                  <a16:creationId xmlns:a16="http://schemas.microsoft.com/office/drawing/2014/main" id="{00000000-0008-0000-1400-000003F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Reduce Royalty PF Deposits to 25%</a:t>
              </a:r>
            </a:p>
          </xdr:txBody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7</xdr:col>
      <xdr:colOff>600074</xdr:colOff>
      <xdr:row>24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257174</xdr:colOff>
      <xdr:row>8</xdr:row>
      <xdr:rowOff>161925</xdr:rowOff>
    </xdr:from>
    <xdr:to>
      <xdr:col>16</xdr:col>
      <xdr:colOff>209549</xdr:colOff>
      <xdr:row>24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26</xdr:row>
      <xdr:rowOff>28575</xdr:rowOff>
    </xdr:from>
    <xdr:to>
      <xdr:col>7</xdr:col>
      <xdr:colOff>600075</xdr:colOff>
      <xdr:row>41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361950</xdr:colOff>
      <xdr:row>26</xdr:row>
      <xdr:rowOff>19049</xdr:rowOff>
    </xdr:from>
    <xdr:to>
      <xdr:col>16</xdr:col>
      <xdr:colOff>323850</xdr:colOff>
      <xdr:row>41</xdr:row>
      <xdr:rowOff>180974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7</xdr:col>
      <xdr:colOff>600074</xdr:colOff>
      <xdr:row>24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257174</xdr:colOff>
      <xdr:row>8</xdr:row>
      <xdr:rowOff>161925</xdr:rowOff>
    </xdr:from>
    <xdr:to>
      <xdr:col>16</xdr:col>
      <xdr:colOff>209549</xdr:colOff>
      <xdr:row>24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26</xdr:row>
      <xdr:rowOff>28575</xdr:rowOff>
    </xdr:from>
    <xdr:to>
      <xdr:col>7</xdr:col>
      <xdr:colOff>600075</xdr:colOff>
      <xdr:row>41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361950</xdr:colOff>
      <xdr:row>26</xdr:row>
      <xdr:rowOff>19049</xdr:rowOff>
    </xdr:from>
    <xdr:to>
      <xdr:col>16</xdr:col>
      <xdr:colOff>323850</xdr:colOff>
      <xdr:row>41</xdr:row>
      <xdr:rowOff>180974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10</xdr:row>
      <xdr:rowOff>9525</xdr:rowOff>
    </xdr:from>
    <xdr:to>
      <xdr:col>3</xdr:col>
      <xdr:colOff>571500</xdr:colOff>
      <xdr:row>11</xdr:row>
      <xdr:rowOff>66675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CxnSpPr/>
      </xdr:nvCxnSpPr>
      <xdr:spPr>
        <a:xfrm>
          <a:off x="1314450" y="1981200"/>
          <a:ext cx="542925" cy="24765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33618</xdr:colOff>
      <xdr:row>29</xdr:row>
      <xdr:rowOff>66675</xdr:rowOff>
    </xdr:from>
    <xdr:to>
      <xdr:col>3</xdr:col>
      <xdr:colOff>571500</xdr:colOff>
      <xdr:row>29</xdr:row>
      <xdr:rowOff>67235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CxnSpPr/>
      </xdr:nvCxnSpPr>
      <xdr:spPr>
        <a:xfrm flipV="1">
          <a:off x="2045074" y="5994587"/>
          <a:ext cx="537882" cy="56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0.43135</cdr:x>
      <cdr:y>0.58675</cdr:y>
    </cdr:from>
    <cdr:to>
      <cdr:x>0.72125</cdr:x>
      <cdr:y>0.66268</cdr:y>
    </cdr:to>
    <cdr:sp macro="" textlink="'POMV vs Distrib Income'!$C$61">
      <cdr:nvSpPr>
        <cdr:cNvPr id="2" name="TextBox 1"/>
        <cdr:cNvSpPr txBox="1"/>
      </cdr:nvSpPr>
      <cdr:spPr>
        <a:xfrm xmlns:a="http://schemas.openxmlformats.org/drawingml/2006/main">
          <a:off x="1719580" y="1619250"/>
          <a:ext cx="1155700" cy="20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>
          <a:solidFill>
            <a:schemeClr val="tx1"/>
          </a:solidFill>
        </a:ln>
        <a:effectLst xmlns:a="http://schemas.openxmlformats.org/drawingml/2006/main"/>
        <a:scene3d xmlns:a="http://schemas.openxmlformats.org/drawingml/2006/main">
          <a:camera prst="orthographicFront"/>
          <a:lightRig rig="threePt" dir="t"/>
        </a:scene3d>
        <a:sp3d xmlns:a="http://schemas.openxmlformats.org/drawingml/2006/main">
          <a:bevelT w="0" h="0"/>
        </a:sp3d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8801600A-0B51-4C1F-924C-303CDF0722DD}" type="TxLink">
            <a:rPr lang="en-US" sz="800" b="0" i="0" u="none" strike="noStrike">
              <a:solidFill>
                <a:srgbClr val="000000"/>
              </a:solidFill>
              <a:latin typeface="Calibri"/>
            </a:rPr>
            <a:pPr/>
            <a:t>4.02%/yr Growth Rate</a:t>
          </a:fld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96980</xdr:colOff>
      <xdr:row>10</xdr:row>
      <xdr:rowOff>118631</xdr:rowOff>
    </xdr:from>
    <xdr:to>
      <xdr:col>8</xdr:col>
      <xdr:colOff>87455</xdr:colOff>
      <xdr:row>26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9525</xdr:rowOff>
        </xdr:from>
        <xdr:to>
          <xdr:col>4</xdr:col>
          <xdr:colOff>209550</xdr:colOff>
          <xdr:row>6</xdr:row>
          <xdr:rowOff>57150</xdr:rowOff>
        </xdr:to>
        <xdr:sp macro="" textlink="">
          <xdr:nvSpPr>
            <xdr:cNvPr id="144385" name="Scroll Bar 1" hidden="1">
              <a:extLst>
                <a:ext uri="{63B3BB69-23CF-44E3-9099-C40C66FF867C}">
                  <a14:compatExt spid="_x0000_s144385"/>
                </a:ext>
                <a:ext uri="{FF2B5EF4-FFF2-40B4-BE49-F238E27FC236}">
                  <a16:creationId xmlns:a16="http://schemas.microsoft.com/office/drawing/2014/main" id="{00000000-0008-0000-0100-0000013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</xdr:row>
          <xdr:rowOff>361950</xdr:rowOff>
        </xdr:from>
        <xdr:to>
          <xdr:col>10</xdr:col>
          <xdr:colOff>180975</xdr:colOff>
          <xdr:row>6</xdr:row>
          <xdr:rowOff>19050</xdr:rowOff>
        </xdr:to>
        <xdr:sp macro="" textlink="">
          <xdr:nvSpPr>
            <xdr:cNvPr id="144386" name="Scroll Bar 2" hidden="1">
              <a:extLst>
                <a:ext uri="{63B3BB69-23CF-44E3-9099-C40C66FF867C}">
                  <a14:compatExt spid="_x0000_s144386"/>
                </a:ext>
                <a:ext uri="{FF2B5EF4-FFF2-40B4-BE49-F238E27FC236}">
                  <a16:creationId xmlns:a16="http://schemas.microsoft.com/office/drawing/2014/main" id="{00000000-0008-0000-0100-0000023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676275</xdr:colOff>
          <xdr:row>26</xdr:row>
          <xdr:rowOff>57150</xdr:rowOff>
        </xdr:from>
        <xdr:to>
          <xdr:col>9</xdr:col>
          <xdr:colOff>19050</xdr:colOff>
          <xdr:row>27</xdr:row>
          <xdr:rowOff>161925</xdr:rowOff>
        </xdr:to>
        <xdr:sp macro="" textlink="">
          <xdr:nvSpPr>
            <xdr:cNvPr id="144387" name="Check Box 3" hidden="1">
              <a:extLst>
                <a:ext uri="{63B3BB69-23CF-44E3-9099-C40C66FF867C}">
                  <a14:compatExt spid="_x0000_s144387"/>
                </a:ext>
                <a:ext uri="{FF2B5EF4-FFF2-40B4-BE49-F238E27FC236}">
                  <a16:creationId xmlns:a16="http://schemas.microsoft.com/office/drawing/2014/main" id="{00000000-0008-0000-0100-0000033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00" mc:Ignorable="a14" a14:legacySpreadsheetColorIndex="5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Include Oil Settlements &amp; CBR Interest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39</xdr:row>
      <xdr:rowOff>76200</xdr:rowOff>
    </xdr:from>
    <xdr:to>
      <xdr:col>10</xdr:col>
      <xdr:colOff>600075</xdr:colOff>
      <xdr:row>46</xdr:row>
      <xdr:rowOff>66675</xdr:rowOff>
    </xdr:to>
    <xdr:pic>
      <xdr:nvPicPr>
        <xdr:cNvPr id="2" name="Picture 1" descr="C:\Users\Alan\AppData\Local\Temp\SNAGHTML4b68e9ce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8020050"/>
          <a:ext cx="5791200" cy="1323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55</xdr:row>
      <xdr:rowOff>128472</xdr:rowOff>
    </xdr:from>
    <xdr:to>
      <xdr:col>13</xdr:col>
      <xdr:colOff>228601</xdr:colOff>
      <xdr:row>60</xdr:row>
      <xdr:rowOff>37970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11120322"/>
          <a:ext cx="8153400" cy="86199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19</xdr:row>
          <xdr:rowOff>38100</xdr:rowOff>
        </xdr:from>
        <xdr:to>
          <xdr:col>20</xdr:col>
          <xdr:colOff>66675</xdr:colOff>
          <xdr:row>19</xdr:row>
          <xdr:rowOff>209550</xdr:rowOff>
        </xdr:to>
        <xdr:sp macro="" textlink="">
          <xdr:nvSpPr>
            <xdr:cNvPr id="92167" name="Check Box 7" descr=" Eliminate Inflation Proofing (not in bill)" hidden="1">
              <a:extLst>
                <a:ext uri="{63B3BB69-23CF-44E3-9099-C40C66FF867C}">
                  <a14:compatExt spid="_x0000_s92167"/>
                </a:ext>
                <a:ext uri="{FF2B5EF4-FFF2-40B4-BE49-F238E27FC236}">
                  <a16:creationId xmlns:a16="http://schemas.microsoft.com/office/drawing/2014/main" id="{00000000-0008-0000-0C00-0000076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Delay PF Restructuring until Jan 1, 2018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19</xdr:row>
          <xdr:rowOff>38100</xdr:rowOff>
        </xdr:from>
        <xdr:to>
          <xdr:col>0</xdr:col>
          <xdr:colOff>2714625</xdr:colOff>
          <xdr:row>19</xdr:row>
          <xdr:rowOff>209550</xdr:rowOff>
        </xdr:to>
        <xdr:sp macro="" textlink="">
          <xdr:nvSpPr>
            <xdr:cNvPr id="92174" name="Check Box 14" descr=" Eliminate Inflation Proofing (not in bill)" hidden="1">
              <a:extLst>
                <a:ext uri="{63B3BB69-23CF-44E3-9099-C40C66FF867C}">
                  <a14:compatExt spid="_x0000_s92174"/>
                </a:ext>
                <a:ext uri="{FF2B5EF4-FFF2-40B4-BE49-F238E27FC236}">
                  <a16:creationId xmlns:a16="http://schemas.microsoft.com/office/drawing/2014/main" id="{00000000-0008-0000-0C00-00000E6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Reduce Royalty PF Deposits to 25%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7</xdr:col>
      <xdr:colOff>600074</xdr:colOff>
      <xdr:row>24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257174</xdr:colOff>
      <xdr:row>8</xdr:row>
      <xdr:rowOff>161925</xdr:rowOff>
    </xdr:from>
    <xdr:to>
      <xdr:col>16</xdr:col>
      <xdr:colOff>209549</xdr:colOff>
      <xdr:row>24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26</xdr:row>
      <xdr:rowOff>28575</xdr:rowOff>
    </xdr:from>
    <xdr:to>
      <xdr:col>7</xdr:col>
      <xdr:colOff>600075</xdr:colOff>
      <xdr:row>41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361950</xdr:colOff>
      <xdr:row>26</xdr:row>
      <xdr:rowOff>19049</xdr:rowOff>
    </xdr:from>
    <xdr:to>
      <xdr:col>16</xdr:col>
      <xdr:colOff>323850</xdr:colOff>
      <xdr:row>41</xdr:row>
      <xdr:rowOff>180974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114300</xdr:rowOff>
    </xdr:from>
    <xdr:to>
      <xdr:col>7</xdr:col>
      <xdr:colOff>609599</xdr:colOff>
      <xdr:row>24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257174</xdr:colOff>
      <xdr:row>8</xdr:row>
      <xdr:rowOff>114300</xdr:rowOff>
    </xdr:from>
    <xdr:to>
      <xdr:col>16</xdr:col>
      <xdr:colOff>209549</xdr:colOff>
      <xdr:row>24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26</xdr:row>
      <xdr:rowOff>28575</xdr:rowOff>
    </xdr:from>
    <xdr:to>
      <xdr:col>7</xdr:col>
      <xdr:colOff>600075</xdr:colOff>
      <xdr:row>41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361950</xdr:colOff>
      <xdr:row>26</xdr:row>
      <xdr:rowOff>19049</xdr:rowOff>
    </xdr:from>
    <xdr:to>
      <xdr:col>16</xdr:col>
      <xdr:colOff>323850</xdr:colOff>
      <xdr:row>41</xdr:row>
      <xdr:rowOff>180974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37</xdr:row>
          <xdr:rowOff>9525</xdr:rowOff>
        </xdr:from>
        <xdr:to>
          <xdr:col>0</xdr:col>
          <xdr:colOff>3248025</xdr:colOff>
          <xdr:row>38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1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CCFF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Delay HB 61 by One Year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114300</xdr:rowOff>
    </xdr:from>
    <xdr:to>
      <xdr:col>7</xdr:col>
      <xdr:colOff>609599</xdr:colOff>
      <xdr:row>24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257174</xdr:colOff>
      <xdr:row>8</xdr:row>
      <xdr:rowOff>114300</xdr:rowOff>
    </xdr:from>
    <xdr:to>
      <xdr:col>16</xdr:col>
      <xdr:colOff>209549</xdr:colOff>
      <xdr:row>24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26</xdr:row>
      <xdr:rowOff>28575</xdr:rowOff>
    </xdr:from>
    <xdr:to>
      <xdr:col>7</xdr:col>
      <xdr:colOff>600075</xdr:colOff>
      <xdr:row>41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361950</xdr:colOff>
      <xdr:row>26</xdr:row>
      <xdr:rowOff>19049</xdr:rowOff>
    </xdr:from>
    <xdr:to>
      <xdr:col>16</xdr:col>
      <xdr:colOff>323850</xdr:colOff>
      <xdr:row>41</xdr:row>
      <xdr:rowOff>180974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561975</xdr:colOff>
          <xdr:row>4</xdr:row>
          <xdr:rowOff>19050</xdr:rowOff>
        </xdr:from>
        <xdr:to>
          <xdr:col>16</xdr:col>
          <xdr:colOff>104775</xdr:colOff>
          <xdr:row>5</xdr:row>
          <xdr:rowOff>114300</xdr:rowOff>
        </xdr:to>
        <xdr:sp macro="" textlink="">
          <xdr:nvSpPr>
            <xdr:cNvPr id="4101" name="btnToggle2ndSQ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1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Show 2nd Status Quo Series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552450</xdr:colOff>
          <xdr:row>5</xdr:row>
          <xdr:rowOff>152400</xdr:rowOff>
        </xdr:from>
        <xdr:to>
          <xdr:col>16</xdr:col>
          <xdr:colOff>114300</xdr:colOff>
          <xdr:row>7</xdr:row>
          <xdr:rowOff>47625</xdr:rowOff>
        </xdr:to>
        <xdr:sp macro="" textlink="">
          <xdr:nvSpPr>
            <xdr:cNvPr id="4102" name="Button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1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Set Values for 2nd Status Quo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4.xml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omments" Target="../comments6.xml"/><Relationship Id="rId4" Type="http://schemas.openxmlformats.org/officeDocument/2006/relationships/ctrlProp" Target="../ctrlProps/ctrlProp10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comments" Target="../comments7.xml"/><Relationship Id="rId4" Type="http://schemas.openxmlformats.org/officeDocument/2006/relationships/ctrlProp" Target="../ctrlProps/ctrlProp1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omments" Target="../comments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comments" Target="../comments8.xml"/><Relationship Id="rId4" Type="http://schemas.openxmlformats.org/officeDocument/2006/relationships/ctrlProp" Target="../ctrlProps/ctrlProp14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10.v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00B050"/>
  </sheetPr>
  <dimension ref="A1:W91"/>
  <sheetViews>
    <sheetView showGridLines="0" zoomScale="150" zoomScaleNormal="150" workbookViewId="0"/>
  </sheetViews>
  <sheetFormatPr defaultColWidth="8.85546875" defaultRowHeight="11.25"/>
  <cols>
    <col min="1" max="1" width="8.85546875" style="200"/>
    <col min="2" max="2" width="10.5703125" style="200" customWidth="1"/>
    <col min="3" max="3" width="10.7109375" style="200" customWidth="1"/>
    <col min="4" max="4" width="9.140625" style="200" customWidth="1"/>
    <col min="5" max="5" width="10.7109375" style="200" customWidth="1"/>
    <col min="6" max="6" width="8.85546875" style="200"/>
    <col min="7" max="7" width="8.140625" style="200" customWidth="1"/>
    <col min="8" max="8" width="8.85546875" style="200"/>
    <col min="9" max="9" width="9.140625" style="200" bestFit="1" customWidth="1"/>
    <col min="10" max="11" width="8.85546875" style="200"/>
    <col min="12" max="12" width="9.140625" style="200" bestFit="1" customWidth="1"/>
    <col min="13" max="13" width="8.85546875" style="200"/>
    <col min="14" max="14" width="6" style="200" customWidth="1"/>
    <col min="15" max="16384" width="8.85546875" style="200"/>
  </cols>
  <sheetData>
    <row r="1" spans="1:15" s="25" customFormat="1" ht="15.75">
      <c r="A1" s="315" t="s">
        <v>543</v>
      </c>
      <c r="G1" s="12"/>
    </row>
    <row r="2" spans="1:15" s="25" customFormat="1" ht="15.75">
      <c r="A2" s="315" t="s">
        <v>441</v>
      </c>
    </row>
    <row r="3" spans="1:15" s="25" customFormat="1" ht="8.4499999999999993" customHeight="1">
      <c r="A3" s="215"/>
    </row>
    <row r="4" spans="1:15" ht="12.75">
      <c r="E4" s="222" t="s">
        <v>546</v>
      </c>
    </row>
    <row r="5" spans="1:15" ht="12">
      <c r="B5" s="200">
        <v>1</v>
      </c>
      <c r="F5" s="216" t="s">
        <v>523</v>
      </c>
      <c r="G5" s="217">
        <v>5.2499999999999998E-2</v>
      </c>
      <c r="H5" s="213" t="s">
        <v>458</v>
      </c>
    </row>
    <row r="6" spans="1:15" ht="12">
      <c r="F6" s="216" t="s">
        <v>547</v>
      </c>
      <c r="G6" s="218">
        <v>1</v>
      </c>
      <c r="H6" s="213" t="s">
        <v>457</v>
      </c>
    </row>
    <row r="7" spans="1:15" ht="15.6" customHeight="1">
      <c r="E7" s="201"/>
    </row>
    <row r="8" spans="1:15" ht="15">
      <c r="A8" s="16" t="str">
        <f>IF(G8,"Constant Forecasted Return Values are Used", "Years of Historical Returns to Use:")</f>
        <v>Years of Historical Returns to Use:</v>
      </c>
      <c r="E8" s="226">
        <f>IF(G8,"",1997+D10)</f>
        <v>1997</v>
      </c>
      <c r="F8" s="214">
        <f>IF(G8,"",E8+9)</f>
        <v>2006</v>
      </c>
      <c r="G8" s="200" t="b">
        <v>0</v>
      </c>
      <c r="K8" s="200" t="b">
        <v>1</v>
      </c>
      <c r="M8" s="216" t="s">
        <v>669</v>
      </c>
      <c r="N8" s="141">
        <v>4</v>
      </c>
      <c r="O8" s="213" t="s">
        <v>668</v>
      </c>
    </row>
    <row r="10" spans="1:15">
      <c r="D10" s="202">
        <v>0</v>
      </c>
    </row>
    <row r="38" spans="1:22" s="203" customFormat="1"/>
    <row r="39" spans="1:22" s="223" customFormat="1"/>
    <row r="40" spans="1:22" s="223" customFormat="1" ht="12">
      <c r="A40" s="221" t="s">
        <v>451</v>
      </c>
    </row>
    <row r="41" spans="1:22">
      <c r="B41" s="378" t="s">
        <v>563</v>
      </c>
      <c r="C41" s="379"/>
      <c r="D41" s="379"/>
      <c r="E41" s="379"/>
      <c r="F41" s="379"/>
      <c r="G41" s="379"/>
      <c r="H41" s="380"/>
      <c r="I41" s="323"/>
      <c r="J41" s="378" t="s">
        <v>562</v>
      </c>
      <c r="K41" s="379"/>
      <c r="L41" s="379"/>
      <c r="M41" s="379"/>
      <c r="N41" s="379"/>
      <c r="O41" s="380"/>
      <c r="P41" s="378" t="s">
        <v>564</v>
      </c>
      <c r="Q41" s="379"/>
      <c r="R41" s="379"/>
      <c r="S41" s="379"/>
      <c r="T41" s="380"/>
    </row>
    <row r="42" spans="1:22" ht="67.5">
      <c r="A42" s="327" t="s">
        <v>136</v>
      </c>
      <c r="B42" s="205" t="s">
        <v>449</v>
      </c>
      <c r="C42" s="205" t="s">
        <v>444</v>
      </c>
      <c r="D42" s="205" t="s">
        <v>448</v>
      </c>
      <c r="E42" s="205" t="s">
        <v>445</v>
      </c>
      <c r="F42" s="205" t="s">
        <v>442</v>
      </c>
      <c r="G42" s="205" t="s">
        <v>443</v>
      </c>
      <c r="H42" s="205" t="s">
        <v>143</v>
      </c>
      <c r="I42" s="322" t="s">
        <v>467</v>
      </c>
      <c r="J42" s="205" t="s">
        <v>446</v>
      </c>
      <c r="K42" s="205" t="s">
        <v>27</v>
      </c>
      <c r="L42" s="205" t="s">
        <v>662</v>
      </c>
      <c r="M42" s="205" t="s">
        <v>570</v>
      </c>
      <c r="N42" s="205" t="s">
        <v>450</v>
      </c>
      <c r="O42" s="205" t="s">
        <v>561</v>
      </c>
      <c r="P42" s="328" t="s">
        <v>565</v>
      </c>
      <c r="Q42" s="205" t="s">
        <v>566</v>
      </c>
      <c r="R42" s="205" t="s">
        <v>567</v>
      </c>
      <c r="S42" s="205" t="s">
        <v>568</v>
      </c>
      <c r="T42" s="205" t="s">
        <v>569</v>
      </c>
      <c r="U42" s="328" t="s">
        <v>663</v>
      </c>
      <c r="V42" s="205" t="s">
        <v>664</v>
      </c>
    </row>
    <row r="43" spans="1:22">
      <c r="A43" s="332">
        <v>2012</v>
      </c>
      <c r="B43" s="206">
        <v>40333</v>
      </c>
      <c r="I43" s="323"/>
      <c r="K43" s="206">
        <v>1568</v>
      </c>
      <c r="M43" s="206"/>
      <c r="N43" s="206"/>
      <c r="O43" s="319"/>
      <c r="T43" s="319"/>
    </row>
    <row r="44" spans="1:22">
      <c r="A44" s="332">
        <v>2013</v>
      </c>
      <c r="B44" s="206">
        <v>44853</v>
      </c>
      <c r="I44" s="323"/>
      <c r="K44" s="206">
        <v>2928</v>
      </c>
      <c r="M44" s="206"/>
      <c r="N44" s="206"/>
      <c r="O44" s="319"/>
      <c r="T44" s="319"/>
    </row>
    <row r="45" spans="1:22">
      <c r="A45" s="332">
        <v>2014</v>
      </c>
      <c r="B45" s="206">
        <v>51214</v>
      </c>
      <c r="I45" s="323"/>
      <c r="K45" s="206">
        <v>3531</v>
      </c>
      <c r="M45" s="206"/>
      <c r="N45" s="206"/>
      <c r="O45" s="319"/>
      <c r="T45" s="319"/>
    </row>
    <row r="46" spans="1:22">
      <c r="A46" s="332">
        <v>2015</v>
      </c>
      <c r="B46" s="206">
        <v>52800</v>
      </c>
      <c r="I46" s="323"/>
      <c r="K46" s="206">
        <v>2907</v>
      </c>
      <c r="M46" s="206"/>
      <c r="N46" s="206"/>
      <c r="O46" s="319"/>
      <c r="T46" s="319"/>
    </row>
    <row r="47" spans="1:22">
      <c r="A47" s="332">
        <v>2016</v>
      </c>
      <c r="B47" s="206">
        <f>52769+696</f>
        <v>53465</v>
      </c>
      <c r="I47" s="323"/>
      <c r="K47" s="206">
        <v>2198</v>
      </c>
      <c r="M47" s="206"/>
      <c r="N47" s="206"/>
      <c r="O47" s="319"/>
      <c r="T47" s="319"/>
    </row>
    <row r="48" spans="1:22">
      <c r="A48" s="332">
        <v>2017</v>
      </c>
      <c r="B48" s="206">
        <f>54951+1501</f>
        <v>56452</v>
      </c>
      <c r="I48" s="323"/>
      <c r="K48" s="206">
        <v>2733</v>
      </c>
      <c r="M48" s="206"/>
      <c r="N48" s="206">
        <f>8977+1501+941</f>
        <v>11419</v>
      </c>
      <c r="O48" s="319"/>
      <c r="P48" s="206"/>
      <c r="Q48" s="206">
        <v>6343</v>
      </c>
      <c r="R48" s="206">
        <f>40667-941</f>
        <v>39726</v>
      </c>
      <c r="S48" s="206">
        <f>7941+1501+941</f>
        <v>10383</v>
      </c>
      <c r="T48" s="329">
        <f>S48/(R48+S48)*Q48</f>
        <v>1314.3221576962221</v>
      </c>
      <c r="U48" s="206">
        <f>-L48</f>
        <v>0</v>
      </c>
    </row>
    <row r="49" spans="1:23">
      <c r="A49" s="332">
        <v>2018</v>
      </c>
      <c r="B49" s="206">
        <f>B48+E49+F49-G49-I49</f>
        <v>63716.126300000004</v>
      </c>
      <c r="C49" s="207">
        <f>AVERAGE(B43:B47)</f>
        <v>48533</v>
      </c>
      <c r="D49" s="211">
        <f>INDEX(B67:$B$86,$D$10+1)</f>
        <v>0.17069999999999999</v>
      </c>
      <c r="E49" s="207">
        <f>(B48+F49/2)*D49-H49</f>
        <v>9542.3912999999993</v>
      </c>
      <c r="F49" s="200">
        <v>299</v>
      </c>
      <c r="G49" s="333">
        <f>MAX(0,425*J49)</f>
        <v>51.594999999999999</v>
      </c>
      <c r="H49" s="206">
        <v>119.48475000000053</v>
      </c>
      <c r="I49" s="324">
        <f t="shared" ref="I49:I58" si="0">CHOOSE($B$5,$G$5*(C49-425),$G$6*O49, $G$5*(C49-425)+$G$6*O49)</f>
        <v>2525.67</v>
      </c>
      <c r="J49" s="211">
        <f>INDEX(C67:$C$86,$D$10+1)</f>
        <v>0.12139999999999999</v>
      </c>
      <c r="K49" s="207">
        <f t="shared" ref="K49:K58" si="1">(B48+F49/2)*J49-H49-G49</f>
        <v>6700.342349999999</v>
      </c>
      <c r="L49" s="206">
        <f t="shared" ref="L49:L58" si="2">IF(limit_ER,-MAX(0,(N48+K49-($N$8+1)*I49+(S48+K49-I49)*Q49/(B49-Q49)-T48)/(1+Q49/(B49-Q49))), 0)</f>
        <v>-5664.745671276657</v>
      </c>
      <c r="M49" s="207">
        <f>T49-T48</f>
        <v>173.75332127665934</v>
      </c>
      <c r="N49" s="207">
        <f>N48+K49+M49+L49-I49</f>
        <v>10102.679999999998</v>
      </c>
      <c r="O49" s="320">
        <f t="shared" ref="O49:O58" si="3">SUM(K44:K48)*0.21</f>
        <v>3002.37</v>
      </c>
      <c r="P49" s="207">
        <f t="shared" ref="P49:P58" si="4">E49-K49-G49</f>
        <v>2790.4539500000005</v>
      </c>
      <c r="Q49" s="207">
        <f>Q48+P49</f>
        <v>9133.453950000001</v>
      </c>
      <c r="R49" s="207">
        <f>R48+F49-L49</f>
        <v>45689.745671276658</v>
      </c>
      <c r="S49" s="207">
        <f>B49-Q49-R49</f>
        <v>8892.9266787233428</v>
      </c>
      <c r="T49" s="329">
        <f>S49/(R49+S49)*Q49</f>
        <v>1488.0754789728815</v>
      </c>
      <c r="U49" s="206">
        <f t="shared" ref="U49:U58" si="5">-L49</f>
        <v>5664.745671276657</v>
      </c>
      <c r="V49" s="317">
        <f>N49/I49</f>
        <v>3.9999999999999991</v>
      </c>
      <c r="W49" s="343"/>
    </row>
    <row r="50" spans="1:23">
      <c r="A50" s="332">
        <v>2019</v>
      </c>
      <c r="B50" s="206">
        <f t="shared" ref="B50:B58" si="6">B49+E50+F50-G50-I50</f>
        <v>71610.741450050002</v>
      </c>
      <c r="C50" s="207">
        <f t="shared" ref="C50:C58" si="7">AVERAGE(B44:B48)</f>
        <v>51756.800000000003</v>
      </c>
      <c r="D50" s="211">
        <f>INDEX(B68:$B$86,$D$10+1)</f>
        <v>0.16350000000000001</v>
      </c>
      <c r="E50" s="207">
        <f t="shared" ref="E50:E58" si="8">(B49+F50/2)*D50-H50</f>
        <v>10321.119650050001</v>
      </c>
      <c r="F50" s="200">
        <v>328</v>
      </c>
      <c r="G50" s="333">
        <f t="shared" ref="G50:G58" si="9">MAX(0,425*J50)</f>
        <v>59.584999999999994</v>
      </c>
      <c r="H50" s="206">
        <v>123.28100000000086</v>
      </c>
      <c r="I50" s="324">
        <f t="shared" si="0"/>
        <v>2694.9195</v>
      </c>
      <c r="J50" s="211">
        <f>INDEX(C68:$C$86,$D$10+1)</f>
        <v>0.14019999999999999</v>
      </c>
      <c r="K50" s="207">
        <f t="shared" si="1"/>
        <v>8773.1277072600005</v>
      </c>
      <c r="L50" s="206">
        <f t="shared" si="2"/>
        <v>-5553.343125087863</v>
      </c>
      <c r="M50" s="207">
        <f t="shared" ref="M50:M58" si="10">T50-T49</f>
        <v>152.13291782786314</v>
      </c>
      <c r="N50" s="207">
        <f t="shared" ref="N50:N58" si="11">N49+K50+M50+L50-I50</f>
        <v>10779.678</v>
      </c>
      <c r="O50" s="320">
        <f t="shared" si="3"/>
        <v>3794.5618934999998</v>
      </c>
      <c r="P50" s="207">
        <f t="shared" si="4"/>
        <v>1488.4069427900004</v>
      </c>
      <c r="Q50" s="207">
        <f t="shared" ref="Q50:Q58" si="12">Q49+P50</f>
        <v>10621.860892790002</v>
      </c>
      <c r="R50" s="207">
        <f t="shared" ref="R50:R58" si="13">R49+F50-L50</f>
        <v>51571.088796364522</v>
      </c>
      <c r="S50" s="207">
        <f t="shared" ref="S50:S58" si="14">B50-Q50-R50</f>
        <v>9417.791760895474</v>
      </c>
      <c r="T50" s="329">
        <f t="shared" ref="T50:T58" si="15">S50/(R50+S50)*Q50</f>
        <v>1640.2083968007446</v>
      </c>
      <c r="U50" s="206">
        <f t="shared" si="5"/>
        <v>5553.343125087863</v>
      </c>
      <c r="V50" s="317">
        <f t="shared" ref="V50:V58" si="16">N50/I50</f>
        <v>4</v>
      </c>
      <c r="W50" s="343"/>
    </row>
    <row r="51" spans="1:23">
      <c r="A51" s="332">
        <v>2020</v>
      </c>
      <c r="B51" s="206">
        <f t="shared" si="6"/>
        <v>75707.948587509745</v>
      </c>
      <c r="C51" s="207">
        <f t="shared" si="7"/>
        <v>55529.425260000004</v>
      </c>
      <c r="D51" s="211">
        <f>INDEX(B69:$B$86,$D$10+1)</f>
        <v>9.4899999999999998E-2</v>
      </c>
      <c r="E51" s="207">
        <f t="shared" si="8"/>
        <v>6685.2269636097444</v>
      </c>
      <c r="F51" s="200">
        <v>343</v>
      </c>
      <c r="G51" s="333">
        <f t="shared" si="9"/>
        <v>38.037500000000001</v>
      </c>
      <c r="H51" s="206">
        <v>126.90775000000031</v>
      </c>
      <c r="I51" s="324">
        <f t="shared" si="0"/>
        <v>2892.9823261500001</v>
      </c>
      <c r="J51" s="211">
        <f>INDEX(C69:$C$86,$D$10+1)</f>
        <v>8.9499999999999996E-2</v>
      </c>
      <c r="K51" s="207">
        <f t="shared" si="1"/>
        <v>6259.5653597794744</v>
      </c>
      <c r="L51" s="206">
        <f t="shared" si="2"/>
        <v>-2657.3923959720792</v>
      </c>
      <c r="M51" s="207">
        <f t="shared" si="10"/>
        <v>83.060666942606986</v>
      </c>
      <c r="N51" s="207">
        <f t="shared" si="11"/>
        <v>11571.929304599998</v>
      </c>
      <c r="O51" s="320">
        <f t="shared" si="3"/>
        <v>4895.4087120245995</v>
      </c>
      <c r="P51" s="207">
        <f t="shared" si="4"/>
        <v>387.62410383026997</v>
      </c>
      <c r="Q51" s="207">
        <f t="shared" si="12"/>
        <v>11009.484996620273</v>
      </c>
      <c r="R51" s="207">
        <f t="shared" si="13"/>
        <v>54571.4811923366</v>
      </c>
      <c r="S51" s="207">
        <f t="shared" si="14"/>
        <v>10126.982398552871</v>
      </c>
      <c r="T51" s="329">
        <f t="shared" si="15"/>
        <v>1723.2690637433516</v>
      </c>
      <c r="U51" s="206">
        <f t="shared" si="5"/>
        <v>2657.3923959720792</v>
      </c>
      <c r="V51" s="317">
        <f t="shared" si="16"/>
        <v>3.9999999999999996</v>
      </c>
      <c r="W51" s="343"/>
    </row>
    <row r="52" spans="1:23">
      <c r="A52" s="332">
        <v>2021</v>
      </c>
      <c r="B52" s="206">
        <f t="shared" si="6"/>
        <v>79751.060206467606</v>
      </c>
      <c r="C52" s="207">
        <f t="shared" si="7"/>
        <v>59608.77355001001</v>
      </c>
      <c r="D52" s="211">
        <f>INDEX(B70:$B$86,$D$10+1)</f>
        <v>9.1799999999999993E-2</v>
      </c>
      <c r="E52" s="207">
        <f t="shared" si="8"/>
        <v>6836.397230333394</v>
      </c>
      <c r="F52" s="200">
        <v>357</v>
      </c>
      <c r="G52" s="333">
        <f t="shared" si="9"/>
        <v>43.137500000000003</v>
      </c>
      <c r="H52" s="206">
        <v>129.97875000000022</v>
      </c>
      <c r="I52" s="324">
        <f t="shared" si="0"/>
        <v>3107.1481113755253</v>
      </c>
      <c r="J52" s="211">
        <f>INDEX(C70:$C$86,$D$10+1)</f>
        <v>0.10150000000000001</v>
      </c>
      <c r="K52" s="207">
        <f t="shared" si="1"/>
        <v>7529.3582816322396</v>
      </c>
      <c r="L52" s="206">
        <f t="shared" si="2"/>
        <v>-3479.15958083232</v>
      </c>
      <c r="M52" s="207">
        <f t="shared" si="10"/>
        <v>-86.38744852229479</v>
      </c>
      <c r="N52" s="207">
        <f t="shared" si="11"/>
        <v>12428.5924455021</v>
      </c>
      <c r="O52" s="320">
        <f t="shared" si="3"/>
        <v>5599.4474375782884</v>
      </c>
      <c r="P52" s="207">
        <f t="shared" si="4"/>
        <v>-736.09855129884568</v>
      </c>
      <c r="Q52" s="207">
        <f t="shared" si="12"/>
        <v>10273.386445321426</v>
      </c>
      <c r="R52" s="207">
        <f t="shared" si="13"/>
        <v>58407.640773168918</v>
      </c>
      <c r="S52" s="207">
        <f t="shared" si="14"/>
        <v>11070.032987977254</v>
      </c>
      <c r="T52" s="329">
        <f t="shared" si="15"/>
        <v>1636.8816152210568</v>
      </c>
      <c r="U52" s="206">
        <f t="shared" si="5"/>
        <v>3479.15958083232</v>
      </c>
      <c r="V52" s="317">
        <f t="shared" si="16"/>
        <v>3.9999999999999996</v>
      </c>
      <c r="W52" s="343"/>
    </row>
    <row r="53" spans="1:23">
      <c r="A53" s="332">
        <v>2022</v>
      </c>
      <c r="B53" s="206">
        <f t="shared" si="6"/>
        <v>74002.166522192376</v>
      </c>
      <c r="C53" s="207">
        <f t="shared" si="7"/>
        <v>64190.363267511944</v>
      </c>
      <c r="D53" s="211">
        <f>INDEX(B71:$B$86,$D$10+1)</f>
        <v>-3.2599999999999997E-2</v>
      </c>
      <c r="E53" s="207">
        <f t="shared" si="8"/>
        <v>-2740.1121127308447</v>
      </c>
      <c r="F53" s="200">
        <v>361</v>
      </c>
      <c r="G53" s="333">
        <f t="shared" si="9"/>
        <v>22.099999999999998</v>
      </c>
      <c r="H53" s="206">
        <v>134.34325000000081</v>
      </c>
      <c r="I53" s="324">
        <f t="shared" si="0"/>
        <v>3347.6815715443768</v>
      </c>
      <c r="J53" s="211">
        <f>INDEX(C71:$C$86,$D$10+1)</f>
        <v>5.1999999999999998E-2</v>
      </c>
      <c r="K53" s="207">
        <f t="shared" si="1"/>
        <v>3999.9978807363145</v>
      </c>
      <c r="L53" s="206">
        <f t="shared" si="2"/>
        <v>0</v>
      </c>
      <c r="M53" s="207">
        <f t="shared" si="10"/>
        <v>-1052.988031494102</v>
      </c>
      <c r="N53" s="207">
        <f t="shared" si="11"/>
        <v>12027.920723199933</v>
      </c>
      <c r="O53" s="320">
        <f t="shared" si="3"/>
        <v>6719.032676721059</v>
      </c>
      <c r="P53" s="207">
        <f t="shared" si="4"/>
        <v>-6762.2099934671596</v>
      </c>
      <c r="Q53" s="207">
        <f t="shared" si="12"/>
        <v>3511.1764518542668</v>
      </c>
      <c r="R53" s="207">
        <f t="shared" si="13"/>
        <v>58768.640773168918</v>
      </c>
      <c r="S53" s="207">
        <f t="shared" si="14"/>
        <v>11722.349297169196</v>
      </c>
      <c r="T53" s="329">
        <f t="shared" si="15"/>
        <v>583.89358372695472</v>
      </c>
      <c r="U53" s="206">
        <f t="shared" si="5"/>
        <v>0</v>
      </c>
      <c r="V53" s="317">
        <f t="shared" si="16"/>
        <v>3.5929106356585541</v>
      </c>
      <c r="W53" s="343"/>
    </row>
    <row r="54" spans="1:23">
      <c r="A54" s="332">
        <v>2023</v>
      </c>
      <c r="B54" s="206">
        <f t="shared" si="6"/>
        <v>68938.245488382978</v>
      </c>
      <c r="C54" s="207">
        <f t="shared" si="7"/>
        <v>69447.575308805477</v>
      </c>
      <c r="D54" s="211">
        <f>INDEX(B72:$B$86,$D$10+1)</f>
        <v>-2.2400000000000003E-2</v>
      </c>
      <c r="E54" s="207">
        <f t="shared" si="8"/>
        <v>-1799.2633300971099</v>
      </c>
      <c r="F54" s="200">
        <v>364</v>
      </c>
      <c r="G54" s="333">
        <f t="shared" si="9"/>
        <v>4.9725000000000001</v>
      </c>
      <c r="H54" s="206">
        <v>137.53800000000047</v>
      </c>
      <c r="I54" s="324">
        <f t="shared" si="0"/>
        <v>3623.6852037122876</v>
      </c>
      <c r="J54" s="211">
        <f>INDEX(C72:$C$86,$D$10+1)</f>
        <v>1.17E-2</v>
      </c>
      <c r="K54" s="207">
        <f t="shared" si="1"/>
        <v>725.44424830965033</v>
      </c>
      <c r="L54" s="206">
        <f t="shared" si="2"/>
        <v>0</v>
      </c>
      <c r="M54" s="207">
        <f t="shared" si="10"/>
        <v>-456.44737052296995</v>
      </c>
      <c r="N54" s="207">
        <f t="shared" si="11"/>
        <v>8673.2323972743252</v>
      </c>
      <c r="O54" s="320">
        <f t="shared" si="3"/>
        <v>6985.1022316756862</v>
      </c>
      <c r="P54" s="207">
        <f t="shared" si="4"/>
        <v>-2529.68007840676</v>
      </c>
      <c r="Q54" s="207">
        <f t="shared" si="12"/>
        <v>981.49637344750681</v>
      </c>
      <c r="R54" s="207">
        <f t="shared" si="13"/>
        <v>59132.640773168918</v>
      </c>
      <c r="S54" s="207">
        <f t="shared" si="14"/>
        <v>8824.1083417665577</v>
      </c>
      <c r="T54" s="329">
        <f t="shared" si="15"/>
        <v>127.44621320398475</v>
      </c>
      <c r="U54" s="206">
        <f t="shared" si="5"/>
        <v>0</v>
      </c>
      <c r="V54" s="317">
        <f t="shared" si="16"/>
        <v>2.3934839561640247</v>
      </c>
      <c r="W54" s="343"/>
    </row>
    <row r="55" spans="1:23">
      <c r="A55" s="332">
        <v>2024</v>
      </c>
      <c r="B55" s="206">
        <f t="shared" si="6"/>
        <v>68429.285984969552</v>
      </c>
      <c r="C55" s="207">
        <f t="shared" si="7"/>
        <v>72957.608613243938</v>
      </c>
      <c r="D55" s="211">
        <f>INDEX(B73:$B$86,$D$10+1)</f>
        <v>4.4600000000000001E-2</v>
      </c>
      <c r="E55" s="207">
        <f t="shared" si="8"/>
        <v>2941.4199487818801</v>
      </c>
      <c r="F55" s="200">
        <v>364</v>
      </c>
      <c r="G55" s="333">
        <f t="shared" si="9"/>
        <v>6.4175000000000004</v>
      </c>
      <c r="H55" s="206">
        <v>141.34300000000076</v>
      </c>
      <c r="I55" s="324">
        <f t="shared" si="0"/>
        <v>3807.9619521953064</v>
      </c>
      <c r="J55" s="211">
        <f>INDEX(C73:$C$86,$D$10+1)</f>
        <v>1.5100000000000001E-2</v>
      </c>
      <c r="K55" s="207">
        <f t="shared" si="1"/>
        <v>895.95520687458225</v>
      </c>
      <c r="L55" s="206">
        <f t="shared" si="2"/>
        <v>0</v>
      </c>
      <c r="M55" s="207">
        <f t="shared" si="10"/>
        <v>145.57173643892276</v>
      </c>
      <c r="N55" s="207">
        <f t="shared" si="11"/>
        <v>5906.7973883925224</v>
      </c>
      <c r="O55" s="320">
        <f t="shared" si="3"/>
        <v>5730.3736303207133</v>
      </c>
      <c r="P55" s="207">
        <f t="shared" si="4"/>
        <v>2039.0472419072978</v>
      </c>
      <c r="Q55" s="207">
        <f t="shared" si="12"/>
        <v>3020.5436153548044</v>
      </c>
      <c r="R55" s="207">
        <f t="shared" si="13"/>
        <v>59496.640773168918</v>
      </c>
      <c r="S55" s="207">
        <f t="shared" si="14"/>
        <v>5912.1015964458275</v>
      </c>
      <c r="T55" s="329">
        <f t="shared" si="15"/>
        <v>273.01794964290752</v>
      </c>
      <c r="U55" s="206">
        <f t="shared" si="5"/>
        <v>0</v>
      </c>
      <c r="V55" s="317">
        <f t="shared" si="16"/>
        <v>1.5511702749517307</v>
      </c>
      <c r="W55" s="343"/>
    </row>
    <row r="56" spans="1:23">
      <c r="A56" s="332">
        <v>2025</v>
      </c>
      <c r="B56" s="206">
        <f t="shared" si="6"/>
        <v>74530.774076957387</v>
      </c>
      <c r="C56" s="207">
        <f t="shared" si="7"/>
        <v>74002.032450920538</v>
      </c>
      <c r="D56" s="211">
        <f>INDEX(B74:$B$86,$D$10+1)</f>
        <v>0.14230000000000001</v>
      </c>
      <c r="E56" s="207">
        <f t="shared" si="8"/>
        <v>9618.5697956611693</v>
      </c>
      <c r="F56" s="200">
        <v>371</v>
      </c>
      <c r="G56" s="333">
        <f t="shared" si="9"/>
        <v>25.287499999999998</v>
      </c>
      <c r="H56" s="206">
        <v>145.31425000000036</v>
      </c>
      <c r="I56" s="324">
        <f t="shared" si="0"/>
        <v>3862.794203673328</v>
      </c>
      <c r="J56" s="211">
        <f>INDEX(C74:$C$86,$D$10+1)</f>
        <v>5.9499999999999997E-2</v>
      </c>
      <c r="K56" s="207">
        <f t="shared" si="1"/>
        <v>3911.9780161056879</v>
      </c>
      <c r="L56" s="206">
        <f t="shared" si="2"/>
        <v>0</v>
      </c>
      <c r="M56" s="207">
        <f t="shared" si="10"/>
        <v>514.99731803364739</v>
      </c>
      <c r="N56" s="207">
        <f t="shared" si="11"/>
        <v>6470.9785188585302</v>
      </c>
      <c r="O56" s="320">
        <f t="shared" si="3"/>
        <v>4076.1674052397752</v>
      </c>
      <c r="P56" s="207">
        <f t="shared" si="4"/>
        <v>5681.3042795554811</v>
      </c>
      <c r="Q56" s="207">
        <f t="shared" si="12"/>
        <v>8701.8478949102864</v>
      </c>
      <c r="R56" s="207">
        <f t="shared" si="13"/>
        <v>59867.640773168918</v>
      </c>
      <c r="S56" s="207">
        <f t="shared" si="14"/>
        <v>5961.2854088781824</v>
      </c>
      <c r="T56" s="329">
        <f t="shared" si="15"/>
        <v>788.01526767655491</v>
      </c>
      <c r="U56" s="206">
        <f t="shared" si="5"/>
        <v>0</v>
      </c>
      <c r="V56" s="317">
        <f t="shared" si="16"/>
        <v>1.6752066451546777</v>
      </c>
      <c r="W56" s="343"/>
    </row>
    <row r="57" spans="1:23">
      <c r="A57" s="332">
        <v>2026</v>
      </c>
      <c r="B57" s="206">
        <f t="shared" si="6"/>
        <v>78687.770391894068</v>
      </c>
      <c r="C57" s="207">
        <f t="shared" si="7"/>
        <v>73365.741357904466</v>
      </c>
      <c r="D57" s="211">
        <f>INDEX(B75:$B$86,$D$10+1)</f>
        <v>0.1043</v>
      </c>
      <c r="E57" s="207">
        <f t="shared" si="8"/>
        <v>7643.1602362266549</v>
      </c>
      <c r="F57" s="200">
        <v>370</v>
      </c>
      <c r="G57" s="333">
        <f t="shared" si="9"/>
        <v>26.774999999999999</v>
      </c>
      <c r="H57" s="206">
        <v>149.69500000000062</v>
      </c>
      <c r="I57" s="324">
        <f t="shared" si="0"/>
        <v>3829.3889212899844</v>
      </c>
      <c r="J57" s="211">
        <f>INDEX(C75:$C$86,$D$10+1)</f>
        <v>6.3E-2</v>
      </c>
      <c r="K57" s="207">
        <f t="shared" si="1"/>
        <v>4530.6237668483154</v>
      </c>
      <c r="L57" s="206">
        <f t="shared" si="2"/>
        <v>0</v>
      </c>
      <c r="M57" s="207">
        <f t="shared" si="10"/>
        <v>385.90098206987136</v>
      </c>
      <c r="N57" s="207">
        <f t="shared" si="11"/>
        <v>7558.1143464867328</v>
      </c>
      <c r="O57" s="320">
        <f t="shared" si="3"/>
        <v>3583.1740630682793</v>
      </c>
      <c r="P57" s="207">
        <f t="shared" si="4"/>
        <v>3085.7614693783394</v>
      </c>
      <c r="Q57" s="207">
        <f t="shared" si="12"/>
        <v>11787.609364288626</v>
      </c>
      <c r="R57" s="207">
        <f t="shared" si="13"/>
        <v>60237.640773168918</v>
      </c>
      <c r="S57" s="207">
        <f t="shared" si="14"/>
        <v>6662.5202544365238</v>
      </c>
      <c r="T57" s="329">
        <f t="shared" si="15"/>
        <v>1173.9162497464263</v>
      </c>
      <c r="U57" s="206">
        <f t="shared" si="5"/>
        <v>0</v>
      </c>
      <c r="V57" s="317">
        <f t="shared" si="16"/>
        <v>1.9737129087271381</v>
      </c>
      <c r="W57" s="343"/>
    </row>
    <row r="58" spans="1:23">
      <c r="A58" s="327">
        <v>2027</v>
      </c>
      <c r="B58" s="209">
        <f t="shared" si="6"/>
        <v>83706.496891994859</v>
      </c>
      <c r="C58" s="210">
        <f t="shared" si="7"/>
        <v>73130.30645579398</v>
      </c>
      <c r="D58" s="220">
        <f>INDEX(B76:$B$86,$D$10+1)</f>
        <v>0.10979999999999999</v>
      </c>
      <c r="E58" s="210">
        <f t="shared" si="8"/>
        <v>8506.5600890299665</v>
      </c>
      <c r="F58" s="203">
        <v>366</v>
      </c>
      <c r="G58" s="334">
        <f t="shared" si="9"/>
        <v>36.805</v>
      </c>
      <c r="H58" s="209">
        <v>153.45050000000083</v>
      </c>
      <c r="I58" s="325">
        <f t="shared" si="0"/>
        <v>3817.0285889291836</v>
      </c>
      <c r="J58" s="220">
        <f>INDEX(C76:$C$86,$D$10+1)</f>
        <v>8.6599999999999996E-2</v>
      </c>
      <c r="K58" s="210">
        <f t="shared" si="1"/>
        <v>6639.9532159380251</v>
      </c>
      <c r="L58" s="206">
        <f t="shared" si="2"/>
        <v>0</v>
      </c>
      <c r="M58" s="210">
        <f t="shared" si="10"/>
        <v>668.9841464245219</v>
      </c>
      <c r="N58" s="210">
        <f t="shared" si="11"/>
        <v>11050.023119920097</v>
      </c>
      <c r="O58" s="321">
        <f t="shared" si="3"/>
        <v>2953.4398149636559</v>
      </c>
      <c r="P58" s="330">
        <f t="shared" si="4"/>
        <v>1829.8018730919414</v>
      </c>
      <c r="Q58" s="210">
        <f t="shared" si="12"/>
        <v>13617.411237380567</v>
      </c>
      <c r="R58" s="210">
        <f t="shared" si="13"/>
        <v>60603.640773168918</v>
      </c>
      <c r="S58" s="207">
        <f t="shared" si="14"/>
        <v>9485.4448814453717</v>
      </c>
      <c r="T58" s="331">
        <f t="shared" si="15"/>
        <v>1842.9003961709482</v>
      </c>
      <c r="U58" s="206">
        <f t="shared" si="5"/>
        <v>0</v>
      </c>
      <c r="V58" s="317">
        <f t="shared" si="16"/>
        <v>2.8949280474265544</v>
      </c>
      <c r="W58" s="343"/>
    </row>
    <row r="59" spans="1:23">
      <c r="A59" s="319"/>
      <c r="B59" s="211">
        <f>(B58/B48)^0.1-1</f>
        <v>4.0178764797315747E-2</v>
      </c>
      <c r="C59" s="207" t="s">
        <v>459</v>
      </c>
      <c r="D59" s="208"/>
      <c r="E59" s="207"/>
      <c r="H59" s="206"/>
      <c r="I59" s="324"/>
      <c r="J59" s="208"/>
      <c r="K59" s="207"/>
      <c r="N59" s="211">
        <f>(N58/N48)^0.1-1</f>
        <v>-3.279223010825727E-3</v>
      </c>
      <c r="O59" s="326" t="s">
        <v>459</v>
      </c>
      <c r="T59" s="319"/>
    </row>
    <row r="60" spans="1:23">
      <c r="A60" s="319"/>
      <c r="B60" s="212">
        <f>(B58/B53)^0.2-1</f>
        <v>2.4950629521926837E-2</v>
      </c>
      <c r="C60" s="200" t="s">
        <v>460</v>
      </c>
      <c r="I60" s="323"/>
      <c r="N60" s="212">
        <f>(N58/N53)^0.2-1</f>
        <v>-1.6816625804859098E-2</v>
      </c>
      <c r="O60" s="319" t="s">
        <v>460</v>
      </c>
      <c r="T60" s="319"/>
    </row>
    <row r="61" spans="1:23">
      <c r="A61" s="319"/>
      <c r="B61" s="212" t="s">
        <v>469</v>
      </c>
      <c r="C61" s="200" t="str">
        <f>TEXT(B59,"0.00%")&amp;"/yr Growth Rate"</f>
        <v>4.02%/yr Growth Rate</v>
      </c>
      <c r="I61" s="323"/>
      <c r="J61" s="212"/>
      <c r="O61" s="319"/>
      <c r="T61" s="319"/>
    </row>
    <row r="62" spans="1:23">
      <c r="A62" s="319"/>
      <c r="B62" s="212">
        <f>(B49-B48)/B48</f>
        <v>0.12867792637993344</v>
      </c>
      <c r="C62" s="200" t="s">
        <v>518</v>
      </c>
      <c r="I62" s="323"/>
      <c r="J62" s="212"/>
      <c r="O62" s="319"/>
      <c r="T62" s="319"/>
    </row>
    <row r="63" spans="1:23">
      <c r="B63" s="212"/>
      <c r="J63" s="212"/>
    </row>
    <row r="64" spans="1:23" ht="12">
      <c r="A64" s="221" t="s">
        <v>453</v>
      </c>
    </row>
    <row r="65" spans="1:12">
      <c r="A65" s="219" t="s">
        <v>456</v>
      </c>
      <c r="E65" s="219" t="s">
        <v>454</v>
      </c>
      <c r="H65" s="219" t="s">
        <v>455</v>
      </c>
    </row>
    <row r="66" spans="1:12" ht="41.25" customHeight="1">
      <c r="A66" s="205" t="s">
        <v>447</v>
      </c>
      <c r="B66" s="205" t="s">
        <v>448</v>
      </c>
      <c r="C66" s="205" t="s">
        <v>446</v>
      </c>
      <c r="E66" s="205" t="s">
        <v>448</v>
      </c>
      <c r="F66" s="205" t="s">
        <v>446</v>
      </c>
      <c r="H66" s="205" t="s">
        <v>448</v>
      </c>
      <c r="I66" s="205" t="s">
        <v>446</v>
      </c>
      <c r="L66" s="211"/>
    </row>
    <row r="67" spans="1:12">
      <c r="A67" s="200">
        <v>1997</v>
      </c>
      <c r="B67" s="211">
        <f>IF($G$8,H67,E67)</f>
        <v>0.17069999999999999</v>
      </c>
      <c r="C67" s="211">
        <f>IF($G$8,I67,F67)</f>
        <v>0.12139999999999999</v>
      </c>
      <c r="E67" s="211">
        <v>0.17069999999999999</v>
      </c>
      <c r="F67" s="211">
        <v>0.12139999999999999</v>
      </c>
      <c r="H67" s="227">
        <v>6.9500000000000006E-2</v>
      </c>
      <c r="I67" s="227">
        <v>6.2399999999999997E-2</v>
      </c>
      <c r="K67" s="317"/>
      <c r="L67" s="211"/>
    </row>
    <row r="68" spans="1:12">
      <c r="A68" s="200">
        <v>1998</v>
      </c>
      <c r="B68" s="211">
        <f t="shared" ref="B68:B86" si="17">IF($G$8,H68,E68)</f>
        <v>0.16350000000000001</v>
      </c>
      <c r="C68" s="211">
        <f t="shared" ref="C68:C86" si="18">IF($G$8,I68,F68)</f>
        <v>0.14019999999999999</v>
      </c>
      <c r="E68" s="211">
        <v>0.16350000000000001</v>
      </c>
      <c r="F68" s="211">
        <v>0.14019999999999999</v>
      </c>
      <c r="H68" s="211">
        <f>H67</f>
        <v>6.9500000000000006E-2</v>
      </c>
      <c r="I68" s="211">
        <f>I67</f>
        <v>6.2399999999999997E-2</v>
      </c>
      <c r="K68" s="317"/>
      <c r="L68" s="211"/>
    </row>
    <row r="69" spans="1:12">
      <c r="A69" s="200">
        <v>1999</v>
      </c>
      <c r="B69" s="211">
        <f t="shared" si="17"/>
        <v>9.4899999999999998E-2</v>
      </c>
      <c r="C69" s="211">
        <f t="shared" si="18"/>
        <v>8.9499999999999996E-2</v>
      </c>
      <c r="E69" s="211">
        <v>9.4899999999999998E-2</v>
      </c>
      <c r="F69" s="211">
        <v>8.9499999999999996E-2</v>
      </c>
      <c r="H69" s="211">
        <f t="shared" ref="H69:H86" si="19">H68</f>
        <v>6.9500000000000006E-2</v>
      </c>
      <c r="I69" s="211">
        <f t="shared" ref="I69:I86" si="20">I68</f>
        <v>6.2399999999999997E-2</v>
      </c>
      <c r="K69" s="317"/>
      <c r="L69" s="211"/>
    </row>
    <row r="70" spans="1:12">
      <c r="A70" s="200">
        <v>2000</v>
      </c>
      <c r="B70" s="211">
        <f t="shared" si="17"/>
        <v>9.1799999999999993E-2</v>
      </c>
      <c r="C70" s="211">
        <f t="shared" si="18"/>
        <v>0.10150000000000001</v>
      </c>
      <c r="E70" s="211">
        <v>9.1799999999999993E-2</v>
      </c>
      <c r="F70" s="211">
        <v>0.10150000000000001</v>
      </c>
      <c r="H70" s="211">
        <f t="shared" si="19"/>
        <v>6.9500000000000006E-2</v>
      </c>
      <c r="I70" s="211">
        <f t="shared" si="20"/>
        <v>6.2399999999999997E-2</v>
      </c>
      <c r="K70" s="317"/>
      <c r="L70" s="211"/>
    </row>
    <row r="71" spans="1:12">
      <c r="A71" s="200">
        <v>2001</v>
      </c>
      <c r="B71" s="211">
        <f t="shared" si="17"/>
        <v>-3.2599999999999997E-2</v>
      </c>
      <c r="C71" s="211">
        <f t="shared" si="18"/>
        <v>5.1999999999999998E-2</v>
      </c>
      <c r="E71" s="211">
        <v>-3.2599999999999997E-2</v>
      </c>
      <c r="F71" s="211">
        <v>5.1999999999999998E-2</v>
      </c>
      <c r="H71" s="211">
        <f t="shared" si="19"/>
        <v>6.9500000000000006E-2</v>
      </c>
      <c r="I71" s="211">
        <f t="shared" si="20"/>
        <v>6.2399999999999997E-2</v>
      </c>
      <c r="K71" s="317"/>
      <c r="L71" s="211"/>
    </row>
    <row r="72" spans="1:12">
      <c r="A72" s="200">
        <v>2002</v>
      </c>
      <c r="B72" s="211">
        <f t="shared" si="17"/>
        <v>-2.2400000000000003E-2</v>
      </c>
      <c r="C72" s="211">
        <f t="shared" si="18"/>
        <v>1.17E-2</v>
      </c>
      <c r="E72" s="211">
        <v>-2.2400000000000003E-2</v>
      </c>
      <c r="F72" s="211">
        <v>1.17E-2</v>
      </c>
      <c r="H72" s="211">
        <f t="shared" si="19"/>
        <v>6.9500000000000006E-2</v>
      </c>
      <c r="I72" s="211">
        <f t="shared" si="20"/>
        <v>6.2399999999999997E-2</v>
      </c>
      <c r="K72" s="317"/>
      <c r="L72" s="211"/>
    </row>
    <row r="73" spans="1:12">
      <c r="A73" s="200">
        <v>2003</v>
      </c>
      <c r="B73" s="211">
        <f t="shared" si="17"/>
        <v>4.4600000000000001E-2</v>
      </c>
      <c r="C73" s="211">
        <f t="shared" si="18"/>
        <v>1.5100000000000001E-2</v>
      </c>
      <c r="E73" s="211">
        <v>4.4600000000000001E-2</v>
      </c>
      <c r="F73" s="211">
        <v>1.5100000000000001E-2</v>
      </c>
      <c r="H73" s="211">
        <f t="shared" si="19"/>
        <v>6.9500000000000006E-2</v>
      </c>
      <c r="I73" s="211">
        <f t="shared" si="20"/>
        <v>6.2399999999999997E-2</v>
      </c>
      <c r="K73" s="317"/>
      <c r="L73" s="211"/>
    </row>
    <row r="74" spans="1:12">
      <c r="A74" s="200">
        <v>2004</v>
      </c>
      <c r="B74" s="211">
        <f t="shared" si="17"/>
        <v>0.14230000000000001</v>
      </c>
      <c r="C74" s="211">
        <f t="shared" si="18"/>
        <v>5.9499999999999997E-2</v>
      </c>
      <c r="E74" s="211">
        <v>0.14230000000000001</v>
      </c>
      <c r="F74" s="211">
        <v>5.9499999999999997E-2</v>
      </c>
      <c r="H74" s="211">
        <f t="shared" si="19"/>
        <v>6.9500000000000006E-2</v>
      </c>
      <c r="I74" s="211">
        <f t="shared" si="20"/>
        <v>6.2399999999999997E-2</v>
      </c>
      <c r="K74" s="317"/>
      <c r="L74" s="211"/>
    </row>
    <row r="75" spans="1:12">
      <c r="A75" s="200">
        <v>2005</v>
      </c>
      <c r="B75" s="211">
        <f t="shared" si="17"/>
        <v>0.1043</v>
      </c>
      <c r="C75" s="211">
        <f t="shared" si="18"/>
        <v>6.3E-2</v>
      </c>
      <c r="E75" s="211">
        <v>0.1043</v>
      </c>
      <c r="F75" s="211">
        <v>6.3E-2</v>
      </c>
      <c r="H75" s="211">
        <f t="shared" si="19"/>
        <v>6.9500000000000006E-2</v>
      </c>
      <c r="I75" s="211">
        <f t="shared" si="20"/>
        <v>6.2399999999999997E-2</v>
      </c>
      <c r="K75" s="317"/>
      <c r="L75" s="211"/>
    </row>
    <row r="76" spans="1:12">
      <c r="A76" s="200">
        <v>2006</v>
      </c>
      <c r="B76" s="211">
        <f t="shared" si="17"/>
        <v>0.10979999999999999</v>
      </c>
      <c r="C76" s="211">
        <f t="shared" si="18"/>
        <v>8.6599999999999996E-2</v>
      </c>
      <c r="E76" s="211">
        <v>0.10979999999999999</v>
      </c>
      <c r="F76" s="211">
        <v>8.6599999999999996E-2</v>
      </c>
      <c r="H76" s="211">
        <f t="shared" si="19"/>
        <v>6.9500000000000006E-2</v>
      </c>
      <c r="I76" s="211">
        <f t="shared" si="20"/>
        <v>6.2399999999999997E-2</v>
      </c>
      <c r="K76" s="317"/>
      <c r="L76" s="211"/>
    </row>
    <row r="77" spans="1:12">
      <c r="A77" s="200">
        <v>2007</v>
      </c>
      <c r="B77" s="211">
        <f t="shared" si="17"/>
        <v>0.1706</v>
      </c>
      <c r="C77" s="211">
        <f t="shared" si="18"/>
        <v>9.9599999999999994E-2</v>
      </c>
      <c r="E77" s="211">
        <v>0.1706</v>
      </c>
      <c r="F77" s="211">
        <v>9.9599999999999994E-2</v>
      </c>
      <c r="H77" s="211">
        <f t="shared" si="19"/>
        <v>6.9500000000000006E-2</v>
      </c>
      <c r="I77" s="211">
        <f t="shared" si="20"/>
        <v>6.2399999999999997E-2</v>
      </c>
      <c r="K77" s="317"/>
      <c r="L77" s="211"/>
    </row>
    <row r="78" spans="1:12">
      <c r="A78" s="200">
        <v>2008</v>
      </c>
      <c r="B78" s="211">
        <f t="shared" si="17"/>
        <v>-3.5999999999999997E-2</v>
      </c>
      <c r="C78" s="211">
        <f t="shared" si="18"/>
        <v>7.7700000000000005E-2</v>
      </c>
      <c r="E78" s="211">
        <v>-3.5999999999999997E-2</v>
      </c>
      <c r="F78" s="211">
        <v>7.7700000000000005E-2</v>
      </c>
      <c r="H78" s="211">
        <f t="shared" si="19"/>
        <v>6.9500000000000006E-2</v>
      </c>
      <c r="I78" s="211">
        <f t="shared" si="20"/>
        <v>6.2399999999999997E-2</v>
      </c>
      <c r="K78" s="317"/>
      <c r="L78" s="211"/>
    </row>
    <row r="79" spans="1:12">
      <c r="A79" s="200">
        <v>2009</v>
      </c>
      <c r="B79" s="211">
        <f t="shared" si="17"/>
        <v>-0.17960000000000001</v>
      </c>
      <c r="C79" s="211">
        <f t="shared" si="18"/>
        <v>-7.8600000000000003E-2</v>
      </c>
      <c r="E79" s="211">
        <v>-0.17960000000000001</v>
      </c>
      <c r="F79" s="211">
        <v>-7.8600000000000003E-2</v>
      </c>
      <c r="H79" s="211">
        <f t="shared" si="19"/>
        <v>6.9500000000000006E-2</v>
      </c>
      <c r="I79" s="211">
        <f t="shared" si="20"/>
        <v>6.2399999999999997E-2</v>
      </c>
      <c r="K79" s="317"/>
      <c r="L79" s="211"/>
    </row>
    <row r="80" spans="1:12">
      <c r="A80" s="200">
        <v>2010</v>
      </c>
      <c r="B80" s="211">
        <f t="shared" si="17"/>
        <v>0.1172</v>
      </c>
      <c r="C80" s="211">
        <f t="shared" si="18"/>
        <v>4.9099999999999998E-2</v>
      </c>
      <c r="E80" s="211">
        <v>0.1172</v>
      </c>
      <c r="F80" s="211">
        <v>4.9099999999999998E-2</v>
      </c>
      <c r="H80" s="211">
        <f t="shared" si="19"/>
        <v>6.9500000000000006E-2</v>
      </c>
      <c r="I80" s="211">
        <f t="shared" si="20"/>
        <v>6.2399999999999997E-2</v>
      </c>
      <c r="K80" s="317"/>
      <c r="L80" s="211"/>
    </row>
    <row r="81" spans="1:12">
      <c r="A81" s="200">
        <v>2011</v>
      </c>
      <c r="B81" s="211">
        <f t="shared" si="17"/>
        <v>0.2056</v>
      </c>
      <c r="C81" s="211">
        <f t="shared" si="18"/>
        <v>5.96E-2</v>
      </c>
      <c r="E81" s="211">
        <v>0.2056</v>
      </c>
      <c r="F81" s="211">
        <v>5.96E-2</v>
      </c>
      <c r="H81" s="211">
        <f t="shared" si="19"/>
        <v>6.9500000000000006E-2</v>
      </c>
      <c r="I81" s="211">
        <f t="shared" si="20"/>
        <v>6.2399999999999997E-2</v>
      </c>
      <c r="K81" s="317"/>
      <c r="L81" s="211"/>
    </row>
    <row r="82" spans="1:12">
      <c r="A82" s="200">
        <v>2012</v>
      </c>
      <c r="B82" s="211">
        <f t="shared" si="17"/>
        <v>-1E-4</v>
      </c>
      <c r="C82" s="211">
        <f t="shared" si="18"/>
        <v>4.02E-2</v>
      </c>
      <c r="E82" s="211">
        <v>-1E-4</v>
      </c>
      <c r="F82" s="211">
        <v>4.02E-2</v>
      </c>
      <c r="H82" s="211">
        <f t="shared" si="19"/>
        <v>6.9500000000000006E-2</v>
      </c>
      <c r="I82" s="211">
        <f t="shared" si="20"/>
        <v>6.2399999999999997E-2</v>
      </c>
      <c r="K82" s="317"/>
      <c r="L82" s="211"/>
    </row>
    <row r="83" spans="1:12">
      <c r="A83" s="200">
        <v>2013</v>
      </c>
      <c r="B83" s="211">
        <f t="shared" si="17"/>
        <v>0.10929999999999999</v>
      </c>
      <c r="C83" s="211">
        <f t="shared" si="18"/>
        <v>6.9699999999999998E-2</v>
      </c>
      <c r="E83" s="211">
        <v>0.10929999999999999</v>
      </c>
      <c r="F83" s="211">
        <v>6.9699999999999998E-2</v>
      </c>
      <c r="H83" s="211">
        <f t="shared" si="19"/>
        <v>6.9500000000000006E-2</v>
      </c>
      <c r="I83" s="211">
        <f t="shared" si="20"/>
        <v>6.2399999999999997E-2</v>
      </c>
      <c r="K83" s="317"/>
      <c r="L83" s="211"/>
    </row>
    <row r="84" spans="1:12">
      <c r="A84" s="200">
        <v>2014</v>
      </c>
      <c r="B84" s="211">
        <f t="shared" si="17"/>
        <v>0.1552</v>
      </c>
      <c r="C84" s="211">
        <f t="shared" si="18"/>
        <v>7.5200000000000003E-2</v>
      </c>
      <c r="E84" s="211">
        <v>0.1552</v>
      </c>
      <c r="F84" s="211">
        <v>7.5200000000000003E-2</v>
      </c>
      <c r="H84" s="211">
        <f t="shared" si="19"/>
        <v>6.9500000000000006E-2</v>
      </c>
      <c r="I84" s="211">
        <f t="shared" si="20"/>
        <v>6.2399999999999997E-2</v>
      </c>
      <c r="K84" s="317"/>
      <c r="L84" s="211"/>
    </row>
    <row r="85" spans="1:12">
      <c r="A85" s="200">
        <v>2015</v>
      </c>
      <c r="B85" s="211">
        <f t="shared" si="17"/>
        <v>4.9099999999999998E-2</v>
      </c>
      <c r="C85" s="211">
        <f t="shared" si="18"/>
        <v>5.67E-2</v>
      </c>
      <c r="E85" s="211">
        <v>4.9099999999999998E-2</v>
      </c>
      <c r="F85" s="211">
        <v>5.67E-2</v>
      </c>
      <c r="H85" s="211">
        <f t="shared" si="19"/>
        <v>6.9500000000000006E-2</v>
      </c>
      <c r="I85" s="211">
        <f t="shared" si="20"/>
        <v>6.2399999999999997E-2</v>
      </c>
      <c r="K85" s="317"/>
      <c r="L85" s="211"/>
    </row>
    <row r="86" spans="1:12">
      <c r="A86" s="200">
        <v>2016</v>
      </c>
      <c r="B86" s="211">
        <f t="shared" si="17"/>
        <v>1.0200000000000001E-2</v>
      </c>
      <c r="C86" s="211">
        <f t="shared" si="18"/>
        <v>4.2999999999999997E-2</v>
      </c>
      <c r="E86" s="211">
        <v>1.0200000000000001E-2</v>
      </c>
      <c r="F86" s="211">
        <v>4.2999999999999997E-2</v>
      </c>
      <c r="H86" s="211">
        <f t="shared" si="19"/>
        <v>6.9500000000000006E-2</v>
      </c>
      <c r="I86" s="211">
        <f t="shared" si="20"/>
        <v>6.2399999999999997E-2</v>
      </c>
      <c r="K86" s="317"/>
      <c r="L86" s="211"/>
    </row>
    <row r="88" spans="1:12">
      <c r="K88" s="211"/>
      <c r="L88" s="211"/>
    </row>
    <row r="89" spans="1:12">
      <c r="A89" s="204" t="s">
        <v>452</v>
      </c>
    </row>
    <row r="90" spans="1:12">
      <c r="A90" s="200" t="s">
        <v>544</v>
      </c>
    </row>
    <row r="91" spans="1:12">
      <c r="A91" s="200" t="s">
        <v>545</v>
      </c>
    </row>
  </sheetData>
  <mergeCells count="3">
    <mergeCell ref="B41:H41"/>
    <mergeCell ref="P41:T41"/>
    <mergeCell ref="J41:O41"/>
  </mergeCells>
  <conditionalFormatting sqref="G5">
    <cfRule type="expression" dxfId="3" priority="4">
      <formula>OR($B$5=1,$B$5=3)</formula>
    </cfRule>
  </conditionalFormatting>
  <conditionalFormatting sqref="G6">
    <cfRule type="expression" dxfId="2" priority="3">
      <formula>OR($B$5=2,$B$5=3)</formula>
    </cfRule>
  </conditionalFormatting>
  <conditionalFormatting sqref="M8:O8">
    <cfRule type="expression" dxfId="1" priority="1">
      <formula>NOT(limit_ER)</formula>
    </cfRule>
  </conditionalFormatting>
  <pageMargins left="0.7" right="0.7" top="0.75" bottom="0.75" header="0.3" footer="0.3"/>
  <pageSetup orientation="portrait" horizontalDpi="4294967293" verticalDpi="4294967293" r:id="rId1"/>
  <ignoredErrors>
    <ignoredError sqref="D50:D52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2578" r:id="rId4" name="Spinner 2">
              <controlPr defaultSize="0" autoPict="0">
                <anchor moveWithCells="1" sizeWithCells="1">
                  <from>
                    <xdr:col>4</xdr:col>
                    <xdr:colOff>57150</xdr:colOff>
                    <xdr:row>6</xdr:row>
                    <xdr:rowOff>180975</xdr:rowOff>
                  </from>
                  <to>
                    <xdr:col>4</xdr:col>
                    <xdr:colOff>314325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83" r:id="rId5" name="List Box 7">
              <controlPr defaultSize="0" autoLine="0" autoPict="0">
                <anchor moveWithCells="1">
                  <from>
                    <xdr:col>0</xdr:col>
                    <xdr:colOff>66675</xdr:colOff>
                    <xdr:row>3</xdr:row>
                    <xdr:rowOff>28575</xdr:rowOff>
                  </from>
                  <to>
                    <xdr:col>2</xdr:col>
                    <xdr:colOff>647700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84" r:id="rId6" name="Check Box 8">
              <controlPr defaultSize="0" autoFill="0" autoLine="0" autoPict="0">
                <anchor moveWithCells="1">
                  <from>
                    <xdr:col>6</xdr:col>
                    <xdr:colOff>19050</xdr:colOff>
                    <xdr:row>6</xdr:row>
                    <xdr:rowOff>171450</xdr:rowOff>
                  </from>
                  <to>
                    <xdr:col>9</xdr:col>
                    <xdr:colOff>485775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93" r:id="rId7" name="Check Box 17">
              <controlPr defaultSize="0" autoFill="0" autoLine="0" autoPict="0">
                <anchor moveWithCells="1">
                  <from>
                    <xdr:col>9</xdr:col>
                    <xdr:colOff>571500</xdr:colOff>
                    <xdr:row>6</xdr:row>
                    <xdr:rowOff>171450</xdr:rowOff>
                  </from>
                  <to>
                    <xdr:col>12</xdr:col>
                    <xdr:colOff>95250</xdr:colOff>
                    <xdr:row>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I2136"/>
  <sheetViews>
    <sheetView workbookViewId="0">
      <selection activeCell="E11" sqref="E11"/>
    </sheetView>
  </sheetViews>
  <sheetFormatPr defaultColWidth="9.140625" defaultRowHeight="15"/>
  <cols>
    <col min="1" max="1" width="10.85546875" style="149" customWidth="1"/>
    <col min="2" max="2" width="9.140625" style="149"/>
    <col min="3" max="4" width="9.7109375" style="149" customWidth="1"/>
    <col min="5" max="5" width="9.42578125" style="149" customWidth="1"/>
    <col min="6" max="6" width="10.5703125" style="149" customWidth="1"/>
    <col min="7" max="8" width="9.5703125" style="149" customWidth="1"/>
    <col min="9" max="9" width="9.7109375" style="149" customWidth="1"/>
    <col min="10" max="16384" width="9.140625" style="149"/>
  </cols>
  <sheetData>
    <row r="1" spans="1:9" ht="18.75">
      <c r="A1" s="18" t="s">
        <v>591</v>
      </c>
    </row>
    <row r="3" spans="1:9" ht="15.75">
      <c r="A3" s="21" t="s">
        <v>167</v>
      </c>
    </row>
    <row r="4" spans="1:9">
      <c r="A4" s="149" t="s">
        <v>168</v>
      </c>
    </row>
    <row r="6" spans="1:9">
      <c r="C6" s="36" t="s">
        <v>165</v>
      </c>
      <c r="F6" s="63">
        <f>INDEX($A11:$A72,MATCH(0,F11:F72,0))</f>
        <v>44515</v>
      </c>
    </row>
    <row r="7" spans="1:9">
      <c r="C7" s="36" t="s">
        <v>166</v>
      </c>
      <c r="F7" s="103">
        <f>YEARFRAC(F6,DATE(YEAR(F6), 1,1))+YEAR(F6)</f>
        <v>2021.8722222222223</v>
      </c>
    </row>
    <row r="8" spans="1:9" ht="7.5" customHeight="1"/>
    <row r="9" spans="1:9">
      <c r="C9" s="47"/>
      <c r="D9" s="384" t="s">
        <v>603</v>
      </c>
      <c r="E9" s="384"/>
      <c r="F9" s="385"/>
      <c r="G9" s="383" t="s">
        <v>592</v>
      </c>
      <c r="H9" s="383"/>
      <c r="I9" s="383"/>
    </row>
    <row r="10" spans="1:9" ht="75">
      <c r="A10" s="14" t="s">
        <v>113</v>
      </c>
      <c r="B10" s="14" t="s">
        <v>114</v>
      </c>
      <c r="C10" s="67" t="s">
        <v>115</v>
      </c>
      <c r="D10" s="64" t="s">
        <v>123</v>
      </c>
      <c r="E10" s="64" t="s">
        <v>121</v>
      </c>
      <c r="F10" s="65" t="s">
        <v>117</v>
      </c>
      <c r="G10" s="111" t="s">
        <v>161</v>
      </c>
      <c r="H10" s="14" t="s">
        <v>164</v>
      </c>
      <c r="I10" s="67" t="s">
        <v>162</v>
      </c>
    </row>
    <row r="11" spans="1:9">
      <c r="A11" s="63">
        <v>42916</v>
      </c>
      <c r="B11" s="149">
        <f>IF(MONTH(A11)&gt;6, YEAR(A11)+1, YEAR(A11))</f>
        <v>2017</v>
      </c>
      <c r="C11" s="68">
        <f>(A11-DATE(B11-1,6,30))/(DATE(B11,6,30)-DATE(B11-1, 6, 30))</f>
        <v>1</v>
      </c>
      <c r="D11" s="34">
        <f>INDEX('SB 21'!$B$51:$G$51,1,$B11-2016)</f>
        <v>8647.8000000000011</v>
      </c>
      <c r="E11" s="34">
        <f>INDEX('SB 21'!$B$49:$G$49,1,$B11-2016)+INDEX('SB 21'!$B$52:$G$52,1,$B11-2016)+INDEX('SB 21'!$B$53:$G$53,1,$B11-2016)</f>
        <v>-2476.0074000000004</v>
      </c>
      <c r="F11" s="66">
        <f>MAX(0,D11+E11*$C11)</f>
        <v>6171.7926000000007</v>
      </c>
      <c r="G11" s="13">
        <f>INDEX('PF Model'!$F$183:$K$183,1,$B11-2016)</f>
        <v>9266</v>
      </c>
      <c r="H11" s="13">
        <f>INDEX('PF Model'!$G$182:$L$182,1,$B11-2016)</f>
        <v>2404.4690515033049</v>
      </c>
      <c r="I11" s="66">
        <f>MAX(0,G11+H11*$C11)</f>
        <v>11670.469051503305</v>
      </c>
    </row>
    <row r="12" spans="1:9">
      <c r="A12" s="63">
        <v>42931</v>
      </c>
      <c r="B12" s="149">
        <f t="shared" ref="B12:B72" si="0">IF(MONTH(A12)&gt;6, YEAR(A12)+1, YEAR(A12))</f>
        <v>2018</v>
      </c>
      <c r="C12" s="68">
        <f t="shared" ref="C12:C72" si="1">(A12-DATE(B12-1,6,30))/(DATE(B12,6,30)-DATE(B12-1, 6, 30))</f>
        <v>4.1095890410958902E-2</v>
      </c>
      <c r="D12" s="34">
        <f>INDEX('SB 21'!$B$51:$G$51,1,$B12-2016)</f>
        <v>6171.7926000000007</v>
      </c>
      <c r="E12" s="34">
        <f>INDEX('SB 21'!$B$49:$G$49,1,$B12-2016)+INDEX('SB 21'!$B$52:$G$52,1,$B12-2016)+INDEX('SB 21'!$B$53:$G$53,1,$B12-2016)</f>
        <v>-2210.5902082513239</v>
      </c>
      <c r="F12" s="66">
        <f t="shared" ref="F12:F72" si="2">MAX(0,D12+E12*$C12)</f>
        <v>6080.9464270581657</v>
      </c>
      <c r="G12" s="13">
        <f>INDEX('PF Model'!$F$183:$K$183,1,$B12-2016)</f>
        <v>11670.469051503305</v>
      </c>
      <c r="H12" s="13">
        <f>INDEX('PF Model'!$G$182:$L$182,1,$B12-2016)</f>
        <v>1244.5225262027379</v>
      </c>
      <c r="I12" s="66">
        <f t="shared" ref="I12:I72" si="3">MAX(0,G12+H12*$C12)</f>
        <v>11721.613812854102</v>
      </c>
    </row>
    <row r="13" spans="1:9">
      <c r="A13" s="63">
        <v>42962</v>
      </c>
      <c r="B13" s="149">
        <f t="shared" si="0"/>
        <v>2018</v>
      </c>
      <c r="C13" s="68">
        <f t="shared" si="1"/>
        <v>0.12602739726027398</v>
      </c>
      <c r="D13" s="34">
        <f>INDEX('SB 21'!$B$51:$G$51,1,$B13-2016)</f>
        <v>6171.7926000000007</v>
      </c>
      <c r="E13" s="34">
        <f>INDEX('SB 21'!$B$49:$G$49,1,$B13-2016)+INDEX('SB 21'!$B$52:$G$52,1,$B13-2016)+INDEX('SB 21'!$B$53:$G$53,1,$B13-2016)</f>
        <v>-2210.5902082513239</v>
      </c>
      <c r="F13" s="66">
        <f t="shared" si="2"/>
        <v>5893.1976696450392</v>
      </c>
      <c r="G13" s="13">
        <f>INDEX('PF Model'!$F$183:$K$183,1,$B13-2016)</f>
        <v>11670.469051503305</v>
      </c>
      <c r="H13" s="13">
        <f>INDEX('PF Model'!$G$182:$L$182,1,$B13-2016)</f>
        <v>1244.5225262027379</v>
      </c>
      <c r="I13" s="66">
        <f t="shared" si="3"/>
        <v>11827.312986312418</v>
      </c>
    </row>
    <row r="14" spans="1:9">
      <c r="A14" s="63">
        <v>42993</v>
      </c>
      <c r="B14" s="149">
        <f t="shared" si="0"/>
        <v>2018</v>
      </c>
      <c r="C14" s="68">
        <f t="shared" si="1"/>
        <v>0.21095890410958903</v>
      </c>
      <c r="D14" s="34">
        <f>INDEX('SB 21'!$B$51:$G$51,1,$B14-2016)</f>
        <v>6171.7926000000007</v>
      </c>
      <c r="E14" s="34">
        <f>INDEX('SB 21'!$B$49:$G$49,1,$B14-2016)+INDEX('SB 21'!$B$52:$G$52,1,$B14-2016)+INDEX('SB 21'!$B$53:$G$53,1,$B14-2016)</f>
        <v>-2210.5902082513239</v>
      </c>
      <c r="F14" s="66">
        <f t="shared" si="2"/>
        <v>5705.4489122319128</v>
      </c>
      <c r="G14" s="13">
        <f>INDEX('PF Model'!$F$183:$K$183,1,$B14-2016)</f>
        <v>11670.469051503305</v>
      </c>
      <c r="H14" s="13">
        <f>INDEX('PF Model'!$G$182:$L$182,1,$B14-2016)</f>
        <v>1244.5225262027379</v>
      </c>
      <c r="I14" s="66">
        <f t="shared" si="3"/>
        <v>11933.012159770733</v>
      </c>
    </row>
    <row r="15" spans="1:9">
      <c r="A15" s="63">
        <v>43023</v>
      </c>
      <c r="B15" s="149">
        <f t="shared" si="0"/>
        <v>2018</v>
      </c>
      <c r="C15" s="68">
        <f t="shared" si="1"/>
        <v>0.29315068493150687</v>
      </c>
      <c r="D15" s="34">
        <f>INDEX('SB 21'!$B$51:$G$51,1,$B15-2016)</f>
        <v>6171.7926000000007</v>
      </c>
      <c r="E15" s="34">
        <f>INDEX('SB 21'!$B$49:$G$49,1,$B15-2016)+INDEX('SB 21'!$B$52:$G$52,1,$B15-2016)+INDEX('SB 21'!$B$53:$G$53,1,$B15-2016)</f>
        <v>-2210.5902082513239</v>
      </c>
      <c r="F15" s="66">
        <f t="shared" si="2"/>
        <v>5523.7565663482428</v>
      </c>
      <c r="G15" s="13">
        <f>INDEX('PF Model'!$F$183:$K$183,1,$B15-2016)</f>
        <v>11670.469051503305</v>
      </c>
      <c r="H15" s="13">
        <f>INDEX('PF Model'!$G$182:$L$182,1,$B15-2016)</f>
        <v>1244.5225262027379</v>
      </c>
      <c r="I15" s="66">
        <f t="shared" si="3"/>
        <v>12035.301682472327</v>
      </c>
    </row>
    <row r="16" spans="1:9">
      <c r="A16" s="63">
        <v>43054</v>
      </c>
      <c r="B16" s="149">
        <f t="shared" si="0"/>
        <v>2018</v>
      </c>
      <c r="C16" s="68">
        <f t="shared" si="1"/>
        <v>0.37808219178082192</v>
      </c>
      <c r="D16" s="34">
        <f>INDEX('SB 21'!$B$51:$G$51,1,$B16-2016)</f>
        <v>6171.7926000000007</v>
      </c>
      <c r="E16" s="34">
        <f>INDEX('SB 21'!$B$49:$G$49,1,$B16-2016)+INDEX('SB 21'!$B$52:$G$52,1,$B16-2016)+INDEX('SB 21'!$B$53:$G$53,1,$B16-2016)</f>
        <v>-2210.5902082513239</v>
      </c>
      <c r="F16" s="66">
        <f t="shared" si="2"/>
        <v>5336.0078089351164</v>
      </c>
      <c r="G16" s="13">
        <f>INDEX('PF Model'!$F$183:$K$183,1,$B16-2016)</f>
        <v>11670.469051503305</v>
      </c>
      <c r="H16" s="13">
        <f>INDEX('PF Model'!$G$182:$L$182,1,$B16-2016)</f>
        <v>1244.5225262027379</v>
      </c>
      <c r="I16" s="66">
        <f t="shared" si="3"/>
        <v>12141.000855930643</v>
      </c>
    </row>
    <row r="17" spans="1:9">
      <c r="A17" s="63">
        <v>43084</v>
      </c>
      <c r="B17" s="149">
        <f t="shared" si="0"/>
        <v>2018</v>
      </c>
      <c r="C17" s="68">
        <f t="shared" si="1"/>
        <v>0.46027397260273972</v>
      </c>
      <c r="D17" s="34">
        <f>INDEX('SB 21'!$B$51:$G$51,1,$B17-2016)</f>
        <v>6171.7926000000007</v>
      </c>
      <c r="E17" s="34">
        <f>INDEX('SB 21'!$B$49:$G$49,1,$B17-2016)+INDEX('SB 21'!$B$52:$G$52,1,$B17-2016)+INDEX('SB 21'!$B$53:$G$53,1,$B17-2016)</f>
        <v>-2210.5902082513239</v>
      </c>
      <c r="F17" s="66">
        <f t="shared" si="2"/>
        <v>5154.3154630514464</v>
      </c>
      <c r="G17" s="13">
        <f>INDEX('PF Model'!$F$183:$K$183,1,$B17-2016)</f>
        <v>11670.469051503305</v>
      </c>
      <c r="H17" s="13">
        <f>INDEX('PF Model'!$G$182:$L$182,1,$B17-2016)</f>
        <v>1244.5225262027379</v>
      </c>
      <c r="I17" s="66">
        <f t="shared" si="3"/>
        <v>12243.290378632237</v>
      </c>
    </row>
    <row r="18" spans="1:9">
      <c r="A18" s="63">
        <v>43115</v>
      </c>
      <c r="B18" s="149">
        <f t="shared" si="0"/>
        <v>2018</v>
      </c>
      <c r="C18" s="68">
        <f t="shared" si="1"/>
        <v>0.54520547945205478</v>
      </c>
      <c r="D18" s="34">
        <f>INDEX('SB 21'!$B$51:$G$51,1,$B18-2016)</f>
        <v>6171.7926000000007</v>
      </c>
      <c r="E18" s="34">
        <f>INDEX('SB 21'!$B$49:$G$49,1,$B18-2016)+INDEX('SB 21'!$B$52:$G$52,1,$B18-2016)+INDEX('SB 21'!$B$53:$G$53,1,$B18-2016)</f>
        <v>-2210.5902082513239</v>
      </c>
      <c r="F18" s="66">
        <f t="shared" si="2"/>
        <v>4966.5667056383199</v>
      </c>
      <c r="G18" s="13">
        <f>INDEX('PF Model'!$F$183:$K$183,1,$B18-2016)</f>
        <v>11670.469051503305</v>
      </c>
      <c r="H18" s="13">
        <f>INDEX('PF Model'!$G$182:$L$182,1,$B18-2016)</f>
        <v>1244.5225262027379</v>
      </c>
      <c r="I18" s="66">
        <f t="shared" si="3"/>
        <v>12348.989552090552</v>
      </c>
    </row>
    <row r="19" spans="1:9">
      <c r="A19" s="63">
        <v>43146</v>
      </c>
      <c r="B19" s="149">
        <f t="shared" si="0"/>
        <v>2018</v>
      </c>
      <c r="C19" s="68">
        <f t="shared" si="1"/>
        <v>0.63013698630136983</v>
      </c>
      <c r="D19" s="34">
        <f>INDEX('SB 21'!$B$51:$G$51,1,$B19-2016)</f>
        <v>6171.7926000000007</v>
      </c>
      <c r="E19" s="34">
        <f>INDEX('SB 21'!$B$49:$G$49,1,$B19-2016)+INDEX('SB 21'!$B$52:$G$52,1,$B19-2016)+INDEX('SB 21'!$B$53:$G$53,1,$B19-2016)</f>
        <v>-2210.5902082513239</v>
      </c>
      <c r="F19" s="66">
        <f t="shared" si="2"/>
        <v>4778.8179482251944</v>
      </c>
      <c r="G19" s="13">
        <f>INDEX('PF Model'!$F$183:$K$183,1,$B19-2016)</f>
        <v>11670.469051503305</v>
      </c>
      <c r="H19" s="13">
        <f>INDEX('PF Model'!$G$182:$L$182,1,$B19-2016)</f>
        <v>1244.5225262027379</v>
      </c>
      <c r="I19" s="66">
        <f t="shared" si="3"/>
        <v>12454.688725548865</v>
      </c>
    </row>
    <row r="20" spans="1:9">
      <c r="A20" s="63">
        <v>43174</v>
      </c>
      <c r="B20" s="149">
        <f t="shared" si="0"/>
        <v>2018</v>
      </c>
      <c r="C20" s="68">
        <f t="shared" si="1"/>
        <v>0.70684931506849313</v>
      </c>
      <c r="D20" s="34">
        <f>INDEX('SB 21'!$B$51:$G$51,1,$B20-2016)</f>
        <v>6171.7926000000007</v>
      </c>
      <c r="E20" s="34">
        <f>INDEX('SB 21'!$B$49:$G$49,1,$B20-2016)+INDEX('SB 21'!$B$52:$G$52,1,$B20-2016)+INDEX('SB 21'!$B$53:$G$53,1,$B20-2016)</f>
        <v>-2210.5902082513239</v>
      </c>
      <c r="F20" s="66">
        <f t="shared" si="2"/>
        <v>4609.2384254004346</v>
      </c>
      <c r="G20" s="13">
        <f>INDEX('PF Model'!$F$183:$K$183,1,$B20-2016)</f>
        <v>11670.469051503305</v>
      </c>
      <c r="H20" s="13">
        <f>INDEX('PF Model'!$G$182:$L$182,1,$B20-2016)</f>
        <v>1244.5225262027379</v>
      </c>
      <c r="I20" s="66">
        <f t="shared" si="3"/>
        <v>12550.158946737021</v>
      </c>
    </row>
    <row r="21" spans="1:9">
      <c r="A21" s="63">
        <v>43205</v>
      </c>
      <c r="B21" s="149">
        <f t="shared" si="0"/>
        <v>2018</v>
      </c>
      <c r="C21" s="68">
        <f t="shared" si="1"/>
        <v>0.79178082191780819</v>
      </c>
      <c r="D21" s="34">
        <f>INDEX('SB 21'!$B$51:$G$51,1,$B21-2016)</f>
        <v>6171.7926000000007</v>
      </c>
      <c r="E21" s="34">
        <f>INDEX('SB 21'!$B$49:$G$49,1,$B21-2016)+INDEX('SB 21'!$B$52:$G$52,1,$B21-2016)+INDEX('SB 21'!$B$53:$G$53,1,$B21-2016)</f>
        <v>-2210.5902082513239</v>
      </c>
      <c r="F21" s="66">
        <f t="shared" si="2"/>
        <v>4421.4896679873091</v>
      </c>
      <c r="G21" s="13">
        <f>INDEX('PF Model'!$F$183:$K$183,1,$B21-2016)</f>
        <v>11670.469051503305</v>
      </c>
      <c r="H21" s="13">
        <f>INDEX('PF Model'!$G$182:$L$182,1,$B21-2016)</f>
        <v>1244.5225262027379</v>
      </c>
      <c r="I21" s="66">
        <f t="shared" si="3"/>
        <v>12655.858120195337</v>
      </c>
    </row>
    <row r="22" spans="1:9">
      <c r="A22" s="63">
        <v>43235</v>
      </c>
      <c r="B22" s="149">
        <f t="shared" si="0"/>
        <v>2018</v>
      </c>
      <c r="C22" s="68">
        <f t="shared" si="1"/>
        <v>0.87397260273972599</v>
      </c>
      <c r="D22" s="34">
        <f>INDEX('SB 21'!$B$51:$G$51,1,$B22-2016)</f>
        <v>6171.7926000000007</v>
      </c>
      <c r="E22" s="34">
        <f>INDEX('SB 21'!$B$49:$G$49,1,$B22-2016)+INDEX('SB 21'!$B$52:$G$52,1,$B22-2016)+INDEX('SB 21'!$B$53:$G$53,1,$B22-2016)</f>
        <v>-2210.5902082513239</v>
      </c>
      <c r="F22" s="66">
        <f t="shared" si="2"/>
        <v>4239.7973221036382</v>
      </c>
      <c r="G22" s="13">
        <f>INDEX('PF Model'!$F$183:$K$183,1,$B22-2016)</f>
        <v>11670.469051503305</v>
      </c>
      <c r="H22" s="13">
        <f>INDEX('PF Model'!$G$182:$L$182,1,$B22-2016)</f>
        <v>1244.5225262027379</v>
      </c>
      <c r="I22" s="66">
        <f t="shared" si="3"/>
        <v>12758.147642896931</v>
      </c>
    </row>
    <row r="23" spans="1:9">
      <c r="A23" s="63">
        <v>43266</v>
      </c>
      <c r="B23" s="149">
        <f t="shared" si="0"/>
        <v>2018</v>
      </c>
      <c r="C23" s="68">
        <f t="shared" si="1"/>
        <v>0.95890410958904104</v>
      </c>
      <c r="D23" s="34">
        <f>INDEX('SB 21'!$B$51:$G$51,1,$B23-2016)</f>
        <v>6171.7926000000007</v>
      </c>
      <c r="E23" s="34">
        <f>INDEX('SB 21'!$B$49:$G$49,1,$B23-2016)+INDEX('SB 21'!$B$52:$G$52,1,$B23-2016)+INDEX('SB 21'!$B$53:$G$53,1,$B23-2016)</f>
        <v>-2210.5902082513239</v>
      </c>
      <c r="F23" s="66">
        <f t="shared" si="2"/>
        <v>4052.0485646905122</v>
      </c>
      <c r="G23" s="13">
        <f>INDEX('PF Model'!$F$183:$K$183,1,$B23-2016)</f>
        <v>11670.469051503305</v>
      </c>
      <c r="H23" s="13">
        <f>INDEX('PF Model'!$G$182:$L$182,1,$B23-2016)</f>
        <v>1244.5225262027379</v>
      </c>
      <c r="I23" s="66">
        <f t="shared" si="3"/>
        <v>12863.846816355246</v>
      </c>
    </row>
    <row r="24" spans="1:9">
      <c r="A24" s="63">
        <v>43296</v>
      </c>
      <c r="B24" s="149">
        <f t="shared" si="0"/>
        <v>2019</v>
      </c>
      <c r="C24" s="68">
        <f t="shared" si="1"/>
        <v>4.1095890410958902E-2</v>
      </c>
      <c r="D24" s="34">
        <f>INDEX('SB 21'!$B$51:$G$51,1,$B24-2016)</f>
        <v>3961.2023917486763</v>
      </c>
      <c r="E24" s="34">
        <f>INDEX('SB 21'!$B$49:$G$49,1,$B24-2016)+INDEX('SB 21'!$B$52:$G$52,1,$B24-2016)+INDEX('SB 21'!$B$53:$G$53,1,$B24-2016)</f>
        <v>-1260.8278413705807</v>
      </c>
      <c r="F24" s="66">
        <f t="shared" si="2"/>
        <v>3909.3875489526249</v>
      </c>
      <c r="G24" s="13">
        <f>INDEX('PF Model'!$F$183:$K$183,1,$B24-2016)</f>
        <v>12914.991577706043</v>
      </c>
      <c r="H24" s="13">
        <f>INDEX('PF Model'!$G$182:$L$182,1,$B24-2016)</f>
        <v>1237.5376048169021</v>
      </c>
      <c r="I24" s="66">
        <f t="shared" si="3"/>
        <v>12965.84928749304</v>
      </c>
    </row>
    <row r="25" spans="1:9">
      <c r="A25" s="63">
        <v>43327</v>
      </c>
      <c r="B25" s="149">
        <f t="shared" si="0"/>
        <v>2019</v>
      </c>
      <c r="C25" s="68">
        <f t="shared" si="1"/>
        <v>0.12602739726027398</v>
      </c>
      <c r="D25" s="34">
        <f>INDEX('SB 21'!$B$51:$G$51,1,$B25-2016)</f>
        <v>3961.2023917486763</v>
      </c>
      <c r="E25" s="34">
        <f>INDEX('SB 21'!$B$49:$G$49,1,$B25-2016)+INDEX('SB 21'!$B$52:$G$52,1,$B25-2016)+INDEX('SB 21'!$B$53:$G$53,1,$B25-2016)</f>
        <v>-1260.8278413705807</v>
      </c>
      <c r="F25" s="66">
        <f t="shared" si="2"/>
        <v>3802.3035405074525</v>
      </c>
      <c r="G25" s="13">
        <f>INDEX('PF Model'!$F$183:$K$183,1,$B25-2016)</f>
        <v>12914.991577706043</v>
      </c>
      <c r="H25" s="13">
        <f>INDEX('PF Model'!$G$182:$L$182,1,$B25-2016)</f>
        <v>1237.5376048169021</v>
      </c>
      <c r="I25" s="66">
        <f t="shared" si="3"/>
        <v>13070.955221052831</v>
      </c>
    </row>
    <row r="26" spans="1:9">
      <c r="A26" s="63">
        <v>43358</v>
      </c>
      <c r="B26" s="149">
        <f t="shared" si="0"/>
        <v>2019</v>
      </c>
      <c r="C26" s="68">
        <f t="shared" si="1"/>
        <v>0.21095890410958903</v>
      </c>
      <c r="D26" s="34">
        <f>INDEX('SB 21'!$B$51:$G$51,1,$B26-2016)</f>
        <v>3961.2023917486763</v>
      </c>
      <c r="E26" s="34">
        <f>INDEX('SB 21'!$B$49:$G$49,1,$B26-2016)+INDEX('SB 21'!$B$52:$G$52,1,$B26-2016)+INDEX('SB 21'!$B$53:$G$53,1,$B26-2016)</f>
        <v>-1260.8278413705807</v>
      </c>
      <c r="F26" s="66">
        <f t="shared" si="2"/>
        <v>3695.21953206228</v>
      </c>
      <c r="G26" s="13">
        <f>INDEX('PF Model'!$F$183:$K$183,1,$B26-2016)</f>
        <v>12914.991577706043</v>
      </c>
      <c r="H26" s="13">
        <f>INDEX('PF Model'!$G$182:$L$182,1,$B26-2016)</f>
        <v>1237.5376048169021</v>
      </c>
      <c r="I26" s="66">
        <f t="shared" si="3"/>
        <v>13176.061154612622</v>
      </c>
    </row>
    <row r="27" spans="1:9">
      <c r="A27" s="63">
        <v>43388</v>
      </c>
      <c r="B27" s="149">
        <f t="shared" si="0"/>
        <v>2019</v>
      </c>
      <c r="C27" s="68">
        <f t="shared" si="1"/>
        <v>0.29315068493150687</v>
      </c>
      <c r="D27" s="34">
        <f>INDEX('SB 21'!$B$51:$G$51,1,$B27-2016)</f>
        <v>3961.2023917486763</v>
      </c>
      <c r="E27" s="34">
        <f>INDEX('SB 21'!$B$49:$G$49,1,$B27-2016)+INDEX('SB 21'!$B$52:$G$52,1,$B27-2016)+INDEX('SB 21'!$B$53:$G$53,1,$B27-2016)</f>
        <v>-1260.8278413705807</v>
      </c>
      <c r="F27" s="66">
        <f t="shared" si="2"/>
        <v>3591.5898464701772</v>
      </c>
      <c r="G27" s="13">
        <f>INDEX('PF Model'!$F$183:$K$183,1,$B27-2016)</f>
        <v>12914.991577706043</v>
      </c>
      <c r="H27" s="13">
        <f>INDEX('PF Model'!$G$182:$L$182,1,$B27-2016)</f>
        <v>1237.5376048169021</v>
      </c>
      <c r="I27" s="66">
        <f t="shared" si="3"/>
        <v>13277.776574186615</v>
      </c>
    </row>
    <row r="28" spans="1:9">
      <c r="A28" s="63">
        <v>43419</v>
      </c>
      <c r="B28" s="149">
        <f t="shared" si="0"/>
        <v>2019</v>
      </c>
      <c r="C28" s="68">
        <f t="shared" si="1"/>
        <v>0.37808219178082192</v>
      </c>
      <c r="D28" s="34">
        <f>INDEX('SB 21'!$B$51:$G$51,1,$B28-2016)</f>
        <v>3961.2023917486763</v>
      </c>
      <c r="E28" s="34">
        <f>INDEX('SB 21'!$B$49:$G$49,1,$B28-2016)+INDEX('SB 21'!$B$52:$G$52,1,$B28-2016)+INDEX('SB 21'!$B$53:$G$53,1,$B28-2016)</f>
        <v>-1260.8278413705807</v>
      </c>
      <c r="F28" s="66">
        <f t="shared" si="2"/>
        <v>3484.5058380250048</v>
      </c>
      <c r="G28" s="13">
        <f>INDEX('PF Model'!$F$183:$K$183,1,$B28-2016)</f>
        <v>12914.991577706043</v>
      </c>
      <c r="H28" s="13">
        <f>INDEX('PF Model'!$G$182:$L$182,1,$B28-2016)</f>
        <v>1237.5376048169021</v>
      </c>
      <c r="I28" s="66">
        <f t="shared" si="3"/>
        <v>13382.882507746406</v>
      </c>
    </row>
    <row r="29" spans="1:9">
      <c r="A29" s="63">
        <v>43449</v>
      </c>
      <c r="B29" s="149">
        <f t="shared" si="0"/>
        <v>2019</v>
      </c>
      <c r="C29" s="68">
        <f t="shared" si="1"/>
        <v>0.46027397260273972</v>
      </c>
      <c r="D29" s="34">
        <f>INDEX('SB 21'!$B$51:$G$51,1,$B29-2016)</f>
        <v>3961.2023917486763</v>
      </c>
      <c r="E29" s="34">
        <f>INDEX('SB 21'!$B$49:$G$49,1,$B29-2016)+INDEX('SB 21'!$B$52:$G$52,1,$B29-2016)+INDEX('SB 21'!$B$53:$G$53,1,$B29-2016)</f>
        <v>-1260.8278413705807</v>
      </c>
      <c r="F29" s="66">
        <f t="shared" si="2"/>
        <v>3380.876152432902</v>
      </c>
      <c r="G29" s="13">
        <f>INDEX('PF Model'!$F$183:$K$183,1,$B29-2016)</f>
        <v>12914.991577706043</v>
      </c>
      <c r="H29" s="13">
        <f>INDEX('PF Model'!$G$182:$L$182,1,$B29-2016)</f>
        <v>1237.5376048169021</v>
      </c>
      <c r="I29" s="66">
        <f t="shared" si="3"/>
        <v>13484.597927320398</v>
      </c>
    </row>
    <row r="30" spans="1:9">
      <c r="A30" s="63">
        <v>43480</v>
      </c>
      <c r="B30" s="149">
        <f t="shared" si="0"/>
        <v>2019</v>
      </c>
      <c r="C30" s="68">
        <f t="shared" si="1"/>
        <v>0.54520547945205478</v>
      </c>
      <c r="D30" s="34">
        <f>INDEX('SB 21'!$B$51:$G$51,1,$B30-2016)</f>
        <v>3961.2023917486763</v>
      </c>
      <c r="E30" s="34">
        <f>INDEX('SB 21'!$B$49:$G$49,1,$B30-2016)+INDEX('SB 21'!$B$52:$G$52,1,$B30-2016)+INDEX('SB 21'!$B$53:$G$53,1,$B30-2016)</f>
        <v>-1260.8278413705807</v>
      </c>
      <c r="F30" s="66">
        <f t="shared" si="2"/>
        <v>3273.7921439877296</v>
      </c>
      <c r="G30" s="13">
        <f>INDEX('PF Model'!$F$183:$K$183,1,$B30-2016)</f>
        <v>12914.991577706043</v>
      </c>
      <c r="H30" s="13">
        <f>INDEX('PF Model'!$G$182:$L$182,1,$B30-2016)</f>
        <v>1237.5376048169021</v>
      </c>
      <c r="I30" s="66">
        <f t="shared" si="3"/>
        <v>13589.70386088019</v>
      </c>
    </row>
    <row r="31" spans="1:9">
      <c r="A31" s="63">
        <v>43511</v>
      </c>
      <c r="B31" s="149">
        <f t="shared" si="0"/>
        <v>2019</v>
      </c>
      <c r="C31" s="68">
        <f t="shared" si="1"/>
        <v>0.63013698630136983</v>
      </c>
      <c r="D31" s="34">
        <f>INDEX('SB 21'!$B$51:$G$51,1,$B31-2016)</f>
        <v>3961.2023917486763</v>
      </c>
      <c r="E31" s="34">
        <f>INDEX('SB 21'!$B$49:$G$49,1,$B31-2016)+INDEX('SB 21'!$B$52:$G$52,1,$B31-2016)+INDEX('SB 21'!$B$53:$G$53,1,$B31-2016)</f>
        <v>-1260.8278413705807</v>
      </c>
      <c r="F31" s="66">
        <f t="shared" si="2"/>
        <v>3166.7081355425571</v>
      </c>
      <c r="G31" s="13">
        <f>INDEX('PF Model'!$F$183:$K$183,1,$B31-2016)</f>
        <v>12914.991577706043</v>
      </c>
      <c r="H31" s="13">
        <f>INDEX('PF Model'!$G$182:$L$182,1,$B31-2016)</f>
        <v>1237.5376048169021</v>
      </c>
      <c r="I31" s="66">
        <f t="shared" si="3"/>
        <v>13694.809794439981</v>
      </c>
    </row>
    <row r="32" spans="1:9">
      <c r="A32" s="63">
        <v>43539</v>
      </c>
      <c r="B32" s="149">
        <f t="shared" si="0"/>
        <v>2019</v>
      </c>
      <c r="C32" s="68">
        <f t="shared" si="1"/>
        <v>0.70684931506849313</v>
      </c>
      <c r="D32" s="34">
        <f>INDEX('SB 21'!$B$51:$G$51,1,$B32-2016)</f>
        <v>3961.2023917486763</v>
      </c>
      <c r="E32" s="34">
        <f>INDEX('SB 21'!$B$49:$G$49,1,$B32-2016)+INDEX('SB 21'!$B$52:$G$52,1,$B32-2016)+INDEX('SB 21'!$B$53:$G$53,1,$B32-2016)</f>
        <v>-1260.8278413705807</v>
      </c>
      <c r="F32" s="66">
        <f t="shared" si="2"/>
        <v>3069.9870956565946</v>
      </c>
      <c r="G32" s="13">
        <f>INDEX('PF Model'!$F$183:$K$183,1,$B32-2016)</f>
        <v>12914.991577706043</v>
      </c>
      <c r="H32" s="13">
        <f>INDEX('PF Model'!$G$182:$L$182,1,$B32-2016)</f>
        <v>1237.5376048169021</v>
      </c>
      <c r="I32" s="66">
        <f t="shared" si="3"/>
        <v>13789.744186042373</v>
      </c>
    </row>
    <row r="33" spans="1:9">
      <c r="A33" s="63">
        <v>43570</v>
      </c>
      <c r="B33" s="149">
        <f t="shared" si="0"/>
        <v>2019</v>
      </c>
      <c r="C33" s="68">
        <f t="shared" si="1"/>
        <v>0.79178082191780819</v>
      </c>
      <c r="D33" s="34">
        <f>INDEX('SB 21'!$B$51:$G$51,1,$B33-2016)</f>
        <v>3961.2023917486763</v>
      </c>
      <c r="E33" s="34">
        <f>INDEX('SB 21'!$B$49:$G$49,1,$B33-2016)+INDEX('SB 21'!$B$52:$G$52,1,$B33-2016)+INDEX('SB 21'!$B$53:$G$53,1,$B33-2016)</f>
        <v>-1260.8278413705807</v>
      </c>
      <c r="F33" s="66">
        <f t="shared" si="2"/>
        <v>2962.9030872114222</v>
      </c>
      <c r="G33" s="13">
        <f>INDEX('PF Model'!$F$183:$K$183,1,$B33-2016)</f>
        <v>12914.991577706043</v>
      </c>
      <c r="H33" s="13">
        <f>INDEX('PF Model'!$G$182:$L$182,1,$B33-2016)</f>
        <v>1237.5376048169021</v>
      </c>
      <c r="I33" s="66">
        <f t="shared" si="3"/>
        <v>13894.850119602166</v>
      </c>
    </row>
    <row r="34" spans="1:9">
      <c r="A34" s="63">
        <v>43600</v>
      </c>
      <c r="B34" s="149">
        <f t="shared" si="0"/>
        <v>2019</v>
      </c>
      <c r="C34" s="68">
        <f t="shared" si="1"/>
        <v>0.87397260273972599</v>
      </c>
      <c r="D34" s="34">
        <f>INDEX('SB 21'!$B$51:$G$51,1,$B34-2016)</f>
        <v>3961.2023917486763</v>
      </c>
      <c r="E34" s="34">
        <f>INDEX('SB 21'!$B$49:$G$49,1,$B34-2016)+INDEX('SB 21'!$B$52:$G$52,1,$B34-2016)+INDEX('SB 21'!$B$53:$G$53,1,$B34-2016)</f>
        <v>-1260.8278413705807</v>
      </c>
      <c r="F34" s="66">
        <f t="shared" si="2"/>
        <v>2859.2734016193194</v>
      </c>
      <c r="G34" s="13">
        <f>INDEX('PF Model'!$F$183:$K$183,1,$B34-2016)</f>
        <v>12914.991577706043</v>
      </c>
      <c r="H34" s="13">
        <f>INDEX('PF Model'!$G$182:$L$182,1,$B34-2016)</f>
        <v>1237.5376048169021</v>
      </c>
      <c r="I34" s="66">
        <f t="shared" si="3"/>
        <v>13996.565539176157</v>
      </c>
    </row>
    <row r="35" spans="1:9">
      <c r="A35" s="63">
        <v>43631</v>
      </c>
      <c r="B35" s="149">
        <f t="shared" si="0"/>
        <v>2019</v>
      </c>
      <c r="C35" s="68">
        <f t="shared" si="1"/>
        <v>0.95890410958904104</v>
      </c>
      <c r="D35" s="34">
        <f>INDEX('SB 21'!$B$51:$G$51,1,$B35-2016)</f>
        <v>3961.2023917486763</v>
      </c>
      <c r="E35" s="34">
        <f>INDEX('SB 21'!$B$49:$G$49,1,$B35-2016)+INDEX('SB 21'!$B$52:$G$52,1,$B35-2016)+INDEX('SB 21'!$B$53:$G$53,1,$B35-2016)</f>
        <v>-1260.8278413705807</v>
      </c>
      <c r="F35" s="66">
        <f t="shared" si="2"/>
        <v>2752.189393174147</v>
      </c>
      <c r="G35" s="13">
        <f>INDEX('PF Model'!$F$183:$K$183,1,$B35-2016)</f>
        <v>12914.991577706043</v>
      </c>
      <c r="H35" s="13">
        <f>INDEX('PF Model'!$G$182:$L$182,1,$B35-2016)</f>
        <v>1237.5376048169021</v>
      </c>
      <c r="I35" s="66">
        <f t="shared" si="3"/>
        <v>14101.671472735949</v>
      </c>
    </row>
    <row r="36" spans="1:9">
      <c r="A36" s="63">
        <v>43661</v>
      </c>
      <c r="B36" s="149">
        <f t="shared" si="0"/>
        <v>2020</v>
      </c>
      <c r="C36" s="68">
        <f t="shared" si="1"/>
        <v>4.0983606557377046E-2</v>
      </c>
      <c r="D36" s="34">
        <f>INDEX('SB 21'!$B$51:$G$51,1,$B36-2016)</f>
        <v>2700.3745503780956</v>
      </c>
      <c r="E36" s="34">
        <f>INDEX('SB 21'!$B$49:$G$49,1,$B36-2016)+INDEX('SB 21'!$B$52:$G$52,1,$B36-2016)+INDEX('SB 21'!$B$53:$G$53,1,$B36-2016)</f>
        <v>-1162.6735307713388</v>
      </c>
      <c r="F36" s="66">
        <f t="shared" si="2"/>
        <v>2652.7239958382866</v>
      </c>
      <c r="G36" s="13">
        <f>INDEX('PF Model'!$F$183:$K$183,1,$B36-2016)</f>
        <v>14152.529182522945</v>
      </c>
      <c r="H36" s="13">
        <f>INDEX('PF Model'!$G$182:$L$182,1,$B36-2016)</f>
        <v>1277.9411893864608</v>
      </c>
      <c r="I36" s="66">
        <f t="shared" si="3"/>
        <v>14204.903821432226</v>
      </c>
    </row>
    <row r="37" spans="1:9">
      <c r="A37" s="63">
        <v>43692</v>
      </c>
      <c r="B37" s="149">
        <f t="shared" si="0"/>
        <v>2020</v>
      </c>
      <c r="C37" s="68">
        <f t="shared" si="1"/>
        <v>0.12568306010928962</v>
      </c>
      <c r="D37" s="34">
        <f>INDEX('SB 21'!$B$51:$G$51,1,$B37-2016)</f>
        <v>2700.3745503780956</v>
      </c>
      <c r="E37" s="34">
        <f>INDEX('SB 21'!$B$49:$G$49,1,$B37-2016)+INDEX('SB 21'!$B$52:$G$52,1,$B37-2016)+INDEX('SB 21'!$B$53:$G$53,1,$B37-2016)</f>
        <v>-1162.6735307713388</v>
      </c>
      <c r="F37" s="66">
        <f t="shared" si="2"/>
        <v>2554.2461831226815</v>
      </c>
      <c r="G37" s="13">
        <f>INDEX('PF Model'!$F$183:$K$183,1,$B37-2016)</f>
        <v>14152.529182522945</v>
      </c>
      <c r="H37" s="13">
        <f>INDEX('PF Model'!$G$182:$L$182,1,$B37-2016)</f>
        <v>1277.9411893864608</v>
      </c>
      <c r="I37" s="66">
        <f t="shared" si="3"/>
        <v>14313.144741844741</v>
      </c>
    </row>
    <row r="38" spans="1:9">
      <c r="A38" s="63">
        <v>43723</v>
      </c>
      <c r="B38" s="149">
        <f t="shared" si="0"/>
        <v>2020</v>
      </c>
      <c r="C38" s="68">
        <f t="shared" si="1"/>
        <v>0.2103825136612022</v>
      </c>
      <c r="D38" s="34">
        <f>INDEX('SB 21'!$B$51:$G$51,1,$B38-2016)</f>
        <v>2700.3745503780956</v>
      </c>
      <c r="E38" s="34">
        <f>INDEX('SB 21'!$B$49:$G$49,1,$B38-2016)+INDEX('SB 21'!$B$52:$G$52,1,$B38-2016)+INDEX('SB 21'!$B$53:$G$53,1,$B38-2016)</f>
        <v>-1162.6735307713388</v>
      </c>
      <c r="F38" s="66">
        <f t="shared" si="2"/>
        <v>2455.768370407076</v>
      </c>
      <c r="G38" s="13">
        <f>INDEX('PF Model'!$F$183:$K$183,1,$B38-2016)</f>
        <v>14152.529182522945</v>
      </c>
      <c r="H38" s="13">
        <f>INDEX('PF Model'!$G$182:$L$182,1,$B38-2016)</f>
        <v>1277.9411893864608</v>
      </c>
      <c r="I38" s="66">
        <f t="shared" si="3"/>
        <v>14421.385662257255</v>
      </c>
    </row>
    <row r="39" spans="1:9">
      <c r="A39" s="63">
        <v>43753</v>
      </c>
      <c r="B39" s="149">
        <f t="shared" si="0"/>
        <v>2020</v>
      </c>
      <c r="C39" s="68">
        <f t="shared" si="1"/>
        <v>0.29234972677595628</v>
      </c>
      <c r="D39" s="34">
        <f>INDEX('SB 21'!$B$51:$G$51,1,$B39-2016)</f>
        <v>2700.3745503780956</v>
      </c>
      <c r="E39" s="34">
        <f>INDEX('SB 21'!$B$49:$G$49,1,$B39-2016)+INDEX('SB 21'!$B$52:$G$52,1,$B39-2016)+INDEX('SB 21'!$B$53:$G$53,1,$B39-2016)</f>
        <v>-1162.6735307713388</v>
      </c>
      <c r="F39" s="66">
        <f t="shared" si="2"/>
        <v>2360.4672613274583</v>
      </c>
      <c r="G39" s="13">
        <f>INDEX('PF Model'!$F$183:$K$183,1,$B39-2016)</f>
        <v>14152.529182522945</v>
      </c>
      <c r="H39" s="13">
        <f>INDEX('PF Model'!$G$182:$L$182,1,$B39-2016)</f>
        <v>1277.9411893864608</v>
      </c>
      <c r="I39" s="66">
        <f t="shared" si="3"/>
        <v>14526.134940075817</v>
      </c>
    </row>
    <row r="40" spans="1:9">
      <c r="A40" s="63">
        <v>43784</v>
      </c>
      <c r="B40" s="149">
        <f t="shared" si="0"/>
        <v>2020</v>
      </c>
      <c r="C40" s="68">
        <f t="shared" si="1"/>
        <v>0.37704918032786883</v>
      </c>
      <c r="D40" s="34">
        <f>INDEX('SB 21'!$B$51:$G$51,1,$B40-2016)</f>
        <v>2700.3745503780956</v>
      </c>
      <c r="E40" s="34">
        <f>INDEX('SB 21'!$B$49:$G$49,1,$B40-2016)+INDEX('SB 21'!$B$52:$G$52,1,$B40-2016)+INDEX('SB 21'!$B$53:$G$53,1,$B40-2016)</f>
        <v>-1162.6735307713388</v>
      </c>
      <c r="F40" s="66">
        <f t="shared" si="2"/>
        <v>2261.9894486118533</v>
      </c>
      <c r="G40" s="13">
        <f>INDEX('PF Model'!$F$183:$K$183,1,$B40-2016)</f>
        <v>14152.529182522945</v>
      </c>
      <c r="H40" s="13">
        <f>INDEX('PF Model'!$G$182:$L$182,1,$B40-2016)</f>
        <v>1277.9411893864608</v>
      </c>
      <c r="I40" s="66">
        <f t="shared" si="3"/>
        <v>14634.375860488331</v>
      </c>
    </row>
    <row r="41" spans="1:9">
      <c r="A41" s="63">
        <v>43814</v>
      </c>
      <c r="B41" s="149">
        <f t="shared" si="0"/>
        <v>2020</v>
      </c>
      <c r="C41" s="68">
        <f t="shared" si="1"/>
        <v>0.45901639344262296</v>
      </c>
      <c r="D41" s="34">
        <f>INDEX('SB 21'!$B$51:$G$51,1,$B41-2016)</f>
        <v>2700.3745503780956</v>
      </c>
      <c r="E41" s="34">
        <f>INDEX('SB 21'!$B$49:$G$49,1,$B41-2016)+INDEX('SB 21'!$B$52:$G$52,1,$B41-2016)+INDEX('SB 21'!$B$53:$G$53,1,$B41-2016)</f>
        <v>-1162.6735307713388</v>
      </c>
      <c r="F41" s="66">
        <f t="shared" si="2"/>
        <v>2166.6883395322352</v>
      </c>
      <c r="G41" s="13">
        <f>INDEX('PF Model'!$F$183:$K$183,1,$B41-2016)</f>
        <v>14152.529182522945</v>
      </c>
      <c r="H41" s="13">
        <f>INDEX('PF Model'!$G$182:$L$182,1,$B41-2016)</f>
        <v>1277.9411893864608</v>
      </c>
      <c r="I41" s="66">
        <f t="shared" si="3"/>
        <v>14739.125138306894</v>
      </c>
    </row>
    <row r="42" spans="1:9">
      <c r="A42" s="63">
        <v>43845</v>
      </c>
      <c r="B42" s="149">
        <f t="shared" si="0"/>
        <v>2020</v>
      </c>
      <c r="C42" s="68">
        <f t="shared" si="1"/>
        <v>0.54371584699453557</v>
      </c>
      <c r="D42" s="34">
        <f>INDEX('SB 21'!$B$51:$G$51,1,$B42-2016)</f>
        <v>2700.3745503780956</v>
      </c>
      <c r="E42" s="34">
        <f>INDEX('SB 21'!$B$49:$G$49,1,$B42-2016)+INDEX('SB 21'!$B$52:$G$52,1,$B42-2016)+INDEX('SB 21'!$B$53:$G$53,1,$B42-2016)</f>
        <v>-1162.6735307713388</v>
      </c>
      <c r="F42" s="66">
        <f t="shared" si="2"/>
        <v>2068.2105268166297</v>
      </c>
      <c r="G42" s="13">
        <f>INDEX('PF Model'!$F$183:$K$183,1,$B42-2016)</f>
        <v>14152.529182522945</v>
      </c>
      <c r="H42" s="13">
        <f>INDEX('PF Model'!$G$182:$L$182,1,$B42-2016)</f>
        <v>1277.9411893864608</v>
      </c>
      <c r="I42" s="66">
        <f t="shared" si="3"/>
        <v>14847.366058719408</v>
      </c>
    </row>
    <row r="43" spans="1:9">
      <c r="A43" s="63">
        <v>43876</v>
      </c>
      <c r="B43" s="149">
        <f t="shared" si="0"/>
        <v>2020</v>
      </c>
      <c r="C43" s="68">
        <f t="shared" si="1"/>
        <v>0.62841530054644812</v>
      </c>
      <c r="D43" s="34">
        <f>INDEX('SB 21'!$B$51:$G$51,1,$B43-2016)</f>
        <v>2700.3745503780956</v>
      </c>
      <c r="E43" s="34">
        <f>INDEX('SB 21'!$B$49:$G$49,1,$B43-2016)+INDEX('SB 21'!$B$52:$G$52,1,$B43-2016)+INDEX('SB 21'!$B$53:$G$53,1,$B43-2016)</f>
        <v>-1162.6735307713388</v>
      </c>
      <c r="F43" s="66">
        <f t="shared" si="2"/>
        <v>1969.7327141010246</v>
      </c>
      <c r="G43" s="13">
        <f>INDEX('PF Model'!$F$183:$K$183,1,$B43-2016)</f>
        <v>14152.529182522945</v>
      </c>
      <c r="H43" s="13">
        <f>INDEX('PF Model'!$G$182:$L$182,1,$B43-2016)</f>
        <v>1277.9411893864608</v>
      </c>
      <c r="I43" s="66">
        <f t="shared" si="3"/>
        <v>14955.606979131924</v>
      </c>
    </row>
    <row r="44" spans="1:9">
      <c r="A44" s="63">
        <v>43905</v>
      </c>
      <c r="B44" s="149">
        <f t="shared" si="0"/>
        <v>2020</v>
      </c>
      <c r="C44" s="68">
        <f t="shared" si="1"/>
        <v>0.70765027322404372</v>
      </c>
      <c r="D44" s="34">
        <f>INDEX('SB 21'!$B$51:$G$51,1,$B44-2016)</f>
        <v>2700.3745503780956</v>
      </c>
      <c r="E44" s="34">
        <f>INDEX('SB 21'!$B$49:$G$49,1,$B44-2016)+INDEX('SB 21'!$B$52:$G$52,1,$B44-2016)+INDEX('SB 21'!$B$53:$G$53,1,$B44-2016)</f>
        <v>-1162.6735307713388</v>
      </c>
      <c r="F44" s="66">
        <f t="shared" si="2"/>
        <v>1877.608308657394</v>
      </c>
      <c r="G44" s="13">
        <f>INDEX('PF Model'!$F$183:$K$183,1,$B44-2016)</f>
        <v>14152.529182522945</v>
      </c>
      <c r="H44" s="13">
        <f>INDEX('PF Model'!$G$182:$L$182,1,$B44-2016)</f>
        <v>1277.9411893864608</v>
      </c>
      <c r="I44" s="66">
        <f t="shared" si="3"/>
        <v>15056.864614356533</v>
      </c>
    </row>
    <row r="45" spans="1:9">
      <c r="A45" s="63">
        <v>43936</v>
      </c>
      <c r="B45" s="149">
        <f t="shared" si="0"/>
        <v>2020</v>
      </c>
      <c r="C45" s="68">
        <f t="shared" si="1"/>
        <v>0.79234972677595628</v>
      </c>
      <c r="D45" s="34">
        <f>INDEX('SB 21'!$B$51:$G$51,1,$B45-2016)</f>
        <v>2700.3745503780956</v>
      </c>
      <c r="E45" s="34">
        <f>INDEX('SB 21'!$B$49:$G$49,1,$B45-2016)+INDEX('SB 21'!$B$52:$G$52,1,$B45-2016)+INDEX('SB 21'!$B$53:$G$53,1,$B45-2016)</f>
        <v>-1162.6735307713388</v>
      </c>
      <c r="F45" s="66">
        <f t="shared" si="2"/>
        <v>1779.1304959417889</v>
      </c>
      <c r="G45" s="13">
        <f>INDEX('PF Model'!$F$183:$K$183,1,$B45-2016)</f>
        <v>14152.529182522945</v>
      </c>
      <c r="H45" s="13">
        <f>INDEX('PF Model'!$G$182:$L$182,1,$B45-2016)</f>
        <v>1277.9411893864608</v>
      </c>
      <c r="I45" s="66">
        <f t="shared" si="3"/>
        <v>15165.105534769047</v>
      </c>
    </row>
    <row r="46" spans="1:9">
      <c r="A46" s="63">
        <v>43966</v>
      </c>
      <c r="B46" s="149">
        <f t="shared" si="0"/>
        <v>2020</v>
      </c>
      <c r="C46" s="68">
        <f t="shared" si="1"/>
        <v>0.87431693989071035</v>
      </c>
      <c r="D46" s="34">
        <f>INDEX('SB 21'!$B$51:$G$51,1,$B46-2016)</f>
        <v>2700.3745503780956</v>
      </c>
      <c r="E46" s="34">
        <f>INDEX('SB 21'!$B$49:$G$49,1,$B46-2016)+INDEX('SB 21'!$B$52:$G$52,1,$B46-2016)+INDEX('SB 21'!$B$53:$G$53,1,$B46-2016)</f>
        <v>-1162.6735307713388</v>
      </c>
      <c r="F46" s="66">
        <f t="shared" si="2"/>
        <v>1683.8293868621708</v>
      </c>
      <c r="G46" s="13">
        <f>INDEX('PF Model'!$F$183:$K$183,1,$B46-2016)</f>
        <v>14152.529182522945</v>
      </c>
      <c r="H46" s="13">
        <f>INDEX('PF Model'!$G$182:$L$182,1,$B46-2016)</f>
        <v>1277.9411893864608</v>
      </c>
      <c r="I46" s="66">
        <f t="shared" si="3"/>
        <v>15269.85481258761</v>
      </c>
    </row>
    <row r="47" spans="1:9">
      <c r="A47" s="63">
        <v>43997</v>
      </c>
      <c r="B47" s="149">
        <f t="shared" si="0"/>
        <v>2020</v>
      </c>
      <c r="C47" s="68">
        <f t="shared" si="1"/>
        <v>0.95901639344262291</v>
      </c>
      <c r="D47" s="34">
        <f>INDEX('SB 21'!$B$51:$G$51,1,$B47-2016)</f>
        <v>2700.3745503780956</v>
      </c>
      <c r="E47" s="34">
        <f>INDEX('SB 21'!$B$49:$G$49,1,$B47-2016)+INDEX('SB 21'!$B$52:$G$52,1,$B47-2016)+INDEX('SB 21'!$B$53:$G$53,1,$B47-2016)</f>
        <v>-1162.6735307713388</v>
      </c>
      <c r="F47" s="66">
        <f t="shared" si="2"/>
        <v>1585.3515741465658</v>
      </c>
      <c r="G47" s="13">
        <f>INDEX('PF Model'!$F$183:$K$183,1,$B47-2016)</f>
        <v>14152.529182522945</v>
      </c>
      <c r="H47" s="13">
        <f>INDEX('PF Model'!$G$182:$L$182,1,$B47-2016)</f>
        <v>1277.9411893864608</v>
      </c>
      <c r="I47" s="66">
        <f t="shared" si="3"/>
        <v>15378.095733000126</v>
      </c>
    </row>
    <row r="48" spans="1:9">
      <c r="A48" s="63">
        <v>44027</v>
      </c>
      <c r="B48" s="149">
        <f t="shared" si="0"/>
        <v>2021</v>
      </c>
      <c r="C48" s="68">
        <f t="shared" si="1"/>
        <v>4.1095890410958902E-2</v>
      </c>
      <c r="D48" s="34">
        <f>INDEX('SB 21'!$B$51:$G$51,1,$B48-2016)</f>
        <v>1537.7010196067567</v>
      </c>
      <c r="E48" s="34">
        <f>INDEX('SB 21'!$B$49:$G$49,1,$B48-2016)+INDEX('SB 21'!$B$52:$G$52,1,$B48-2016)+INDEX('SB 21'!$B$53:$G$53,1,$B48-2016)</f>
        <v>-1172.7599134531551</v>
      </c>
      <c r="F48" s="66">
        <f t="shared" si="2"/>
        <v>1489.5054067251203</v>
      </c>
      <c r="G48" s="13">
        <f>INDEX('PF Model'!$F$183:$K$183,1,$B48-2016)</f>
        <v>15430.470371909407</v>
      </c>
      <c r="H48" s="13">
        <f>INDEX('PF Model'!$G$182:$L$182,1,$B48-2016)</f>
        <v>1320.4936387034661</v>
      </c>
      <c r="I48" s="66">
        <f t="shared" si="3"/>
        <v>15484.737233773933</v>
      </c>
    </row>
    <row r="49" spans="1:9">
      <c r="A49" s="63">
        <v>44058</v>
      </c>
      <c r="B49" s="149">
        <f t="shared" si="0"/>
        <v>2021</v>
      </c>
      <c r="C49" s="68">
        <f t="shared" si="1"/>
        <v>0.12602739726027398</v>
      </c>
      <c r="D49" s="34">
        <f>INDEX('SB 21'!$B$51:$G$51,1,$B49-2016)</f>
        <v>1537.7010196067567</v>
      </c>
      <c r="E49" s="34">
        <f>INDEX('SB 21'!$B$49:$G$49,1,$B49-2016)+INDEX('SB 21'!$B$52:$G$52,1,$B49-2016)+INDEX('SB 21'!$B$53:$G$53,1,$B49-2016)</f>
        <v>-1172.7599134531551</v>
      </c>
      <c r="F49" s="66">
        <f t="shared" si="2"/>
        <v>1389.9011401030714</v>
      </c>
      <c r="G49" s="13">
        <f>INDEX('PF Model'!$F$183:$K$183,1,$B49-2016)</f>
        <v>15430.470371909407</v>
      </c>
      <c r="H49" s="13">
        <f>INDEX('PF Model'!$G$182:$L$182,1,$B49-2016)</f>
        <v>1320.4936387034661</v>
      </c>
      <c r="I49" s="66">
        <f t="shared" si="3"/>
        <v>15596.888748293954</v>
      </c>
    </row>
    <row r="50" spans="1:9">
      <c r="A50" s="63">
        <v>44089</v>
      </c>
      <c r="B50" s="149">
        <f t="shared" si="0"/>
        <v>2021</v>
      </c>
      <c r="C50" s="68">
        <f t="shared" si="1"/>
        <v>0.21095890410958903</v>
      </c>
      <c r="D50" s="34">
        <f>INDEX('SB 21'!$B$51:$G$51,1,$B50-2016)</f>
        <v>1537.7010196067567</v>
      </c>
      <c r="E50" s="34">
        <f>INDEX('SB 21'!$B$49:$G$49,1,$B50-2016)+INDEX('SB 21'!$B$52:$G$52,1,$B50-2016)+INDEX('SB 21'!$B$53:$G$53,1,$B50-2016)</f>
        <v>-1172.7599134531551</v>
      </c>
      <c r="F50" s="66">
        <f t="shared" si="2"/>
        <v>1290.2968734810227</v>
      </c>
      <c r="G50" s="13">
        <f>INDEX('PF Model'!$F$183:$K$183,1,$B50-2016)</f>
        <v>15430.470371909407</v>
      </c>
      <c r="H50" s="13">
        <f>INDEX('PF Model'!$G$182:$L$182,1,$B50-2016)</f>
        <v>1320.4936387034661</v>
      </c>
      <c r="I50" s="66">
        <f t="shared" si="3"/>
        <v>15709.040262813975</v>
      </c>
    </row>
    <row r="51" spans="1:9">
      <c r="A51" s="63">
        <v>44119</v>
      </c>
      <c r="B51" s="149">
        <f t="shared" si="0"/>
        <v>2021</v>
      </c>
      <c r="C51" s="68">
        <f t="shared" si="1"/>
        <v>0.29315068493150687</v>
      </c>
      <c r="D51" s="34">
        <f>INDEX('SB 21'!$B$51:$G$51,1,$B51-2016)</f>
        <v>1537.7010196067567</v>
      </c>
      <c r="E51" s="34">
        <f>INDEX('SB 21'!$B$49:$G$49,1,$B51-2016)+INDEX('SB 21'!$B$52:$G$52,1,$B51-2016)+INDEX('SB 21'!$B$53:$G$53,1,$B51-2016)</f>
        <v>-1172.7599134531551</v>
      </c>
      <c r="F51" s="66">
        <f t="shared" si="2"/>
        <v>1193.9056477177496</v>
      </c>
      <c r="G51" s="13">
        <f>INDEX('PF Model'!$F$183:$K$183,1,$B51-2016)</f>
        <v>15430.470371909407</v>
      </c>
      <c r="H51" s="13">
        <f>INDEX('PF Model'!$G$182:$L$182,1,$B51-2016)</f>
        <v>1320.4936387034661</v>
      </c>
      <c r="I51" s="66">
        <f t="shared" si="3"/>
        <v>15817.573986543026</v>
      </c>
    </row>
    <row r="52" spans="1:9">
      <c r="A52" s="63">
        <v>44150</v>
      </c>
      <c r="B52" s="149">
        <f t="shared" si="0"/>
        <v>2021</v>
      </c>
      <c r="C52" s="68">
        <f t="shared" si="1"/>
        <v>0.37808219178082192</v>
      </c>
      <c r="D52" s="34">
        <f>INDEX('SB 21'!$B$51:$G$51,1,$B52-2016)</f>
        <v>1537.7010196067567</v>
      </c>
      <c r="E52" s="34">
        <f>INDEX('SB 21'!$B$49:$G$49,1,$B52-2016)+INDEX('SB 21'!$B$52:$G$52,1,$B52-2016)+INDEX('SB 21'!$B$53:$G$53,1,$B52-2016)</f>
        <v>-1172.7599134531551</v>
      </c>
      <c r="F52" s="66">
        <f t="shared" si="2"/>
        <v>1094.3013810957009</v>
      </c>
      <c r="G52" s="13">
        <f>INDEX('PF Model'!$F$183:$K$183,1,$B52-2016)</f>
        <v>15430.470371909407</v>
      </c>
      <c r="H52" s="13">
        <f>INDEX('PF Model'!$G$182:$L$182,1,$B52-2016)</f>
        <v>1320.4936387034661</v>
      </c>
      <c r="I52" s="66">
        <f t="shared" si="3"/>
        <v>15929.725501063047</v>
      </c>
    </row>
    <row r="53" spans="1:9">
      <c r="A53" s="63">
        <v>44180</v>
      </c>
      <c r="B53" s="149">
        <f t="shared" si="0"/>
        <v>2021</v>
      </c>
      <c r="C53" s="68">
        <f t="shared" si="1"/>
        <v>0.46027397260273972</v>
      </c>
      <c r="D53" s="34">
        <f>INDEX('SB 21'!$B$51:$G$51,1,$B53-2016)</f>
        <v>1537.7010196067567</v>
      </c>
      <c r="E53" s="34">
        <f>INDEX('SB 21'!$B$49:$G$49,1,$B53-2016)+INDEX('SB 21'!$B$52:$G$52,1,$B53-2016)+INDEX('SB 21'!$B$53:$G$53,1,$B53-2016)</f>
        <v>-1172.7599134531551</v>
      </c>
      <c r="F53" s="66">
        <f t="shared" si="2"/>
        <v>997.91015533242785</v>
      </c>
      <c r="G53" s="13">
        <f>INDEX('PF Model'!$F$183:$K$183,1,$B53-2016)</f>
        <v>15430.470371909407</v>
      </c>
      <c r="H53" s="13">
        <f>INDEX('PF Model'!$G$182:$L$182,1,$B53-2016)</f>
        <v>1320.4936387034661</v>
      </c>
      <c r="I53" s="66">
        <f t="shared" si="3"/>
        <v>16038.259224792098</v>
      </c>
    </row>
    <row r="54" spans="1:9">
      <c r="A54" s="63">
        <v>44211</v>
      </c>
      <c r="B54" s="149">
        <f t="shared" si="0"/>
        <v>2021</v>
      </c>
      <c r="C54" s="68">
        <f t="shared" si="1"/>
        <v>0.54520547945205478</v>
      </c>
      <c r="D54" s="34">
        <f>INDEX('SB 21'!$B$51:$G$51,1,$B54-2016)</f>
        <v>1537.7010196067567</v>
      </c>
      <c r="E54" s="34">
        <f>INDEX('SB 21'!$B$49:$G$49,1,$B54-2016)+INDEX('SB 21'!$B$52:$G$52,1,$B54-2016)+INDEX('SB 21'!$B$53:$G$53,1,$B54-2016)</f>
        <v>-1172.7599134531551</v>
      </c>
      <c r="F54" s="66">
        <f t="shared" si="2"/>
        <v>898.30588871037901</v>
      </c>
      <c r="G54" s="13">
        <f>INDEX('PF Model'!$F$183:$K$183,1,$B54-2016)</f>
        <v>15430.470371909407</v>
      </c>
      <c r="H54" s="13">
        <f>INDEX('PF Model'!$G$182:$L$182,1,$B54-2016)</f>
        <v>1320.4936387034661</v>
      </c>
      <c r="I54" s="66">
        <f t="shared" si="3"/>
        <v>16150.410739312119</v>
      </c>
    </row>
    <row r="55" spans="1:9">
      <c r="A55" s="63">
        <v>44242</v>
      </c>
      <c r="B55" s="149">
        <f t="shared" si="0"/>
        <v>2021</v>
      </c>
      <c r="C55" s="68">
        <f t="shared" si="1"/>
        <v>0.63013698630136983</v>
      </c>
      <c r="D55" s="34">
        <f>INDEX('SB 21'!$B$51:$G$51,1,$B55-2016)</f>
        <v>1537.7010196067567</v>
      </c>
      <c r="E55" s="34">
        <f>INDEX('SB 21'!$B$49:$G$49,1,$B55-2016)+INDEX('SB 21'!$B$52:$G$52,1,$B55-2016)+INDEX('SB 21'!$B$53:$G$53,1,$B55-2016)</f>
        <v>-1172.7599134531551</v>
      </c>
      <c r="F55" s="66">
        <f t="shared" si="2"/>
        <v>798.70162208833028</v>
      </c>
      <c r="G55" s="13">
        <f>INDEX('PF Model'!$F$183:$K$183,1,$B55-2016)</f>
        <v>15430.470371909407</v>
      </c>
      <c r="H55" s="13">
        <f>INDEX('PF Model'!$G$182:$L$182,1,$B55-2016)</f>
        <v>1320.4936387034661</v>
      </c>
      <c r="I55" s="66">
        <f t="shared" si="3"/>
        <v>16262.562253832139</v>
      </c>
    </row>
    <row r="56" spans="1:9">
      <c r="A56" s="63">
        <v>44270</v>
      </c>
      <c r="B56" s="149">
        <f t="shared" si="0"/>
        <v>2021</v>
      </c>
      <c r="C56" s="68">
        <f t="shared" si="1"/>
        <v>0.70684931506849313</v>
      </c>
      <c r="D56" s="34">
        <f>INDEX('SB 21'!$B$51:$G$51,1,$B56-2016)</f>
        <v>1537.7010196067567</v>
      </c>
      <c r="E56" s="34">
        <f>INDEX('SB 21'!$B$49:$G$49,1,$B56-2016)+INDEX('SB 21'!$B$52:$G$52,1,$B56-2016)+INDEX('SB 21'!$B$53:$G$53,1,$B56-2016)</f>
        <v>-1172.7599134531551</v>
      </c>
      <c r="F56" s="66">
        <f t="shared" si="2"/>
        <v>708.73647804260872</v>
      </c>
      <c r="G56" s="13">
        <f>INDEX('PF Model'!$F$183:$K$183,1,$B56-2016)</f>
        <v>15430.470371909407</v>
      </c>
      <c r="H56" s="13">
        <f>INDEX('PF Model'!$G$182:$L$182,1,$B56-2016)</f>
        <v>1320.4936387034661</v>
      </c>
      <c r="I56" s="66">
        <f t="shared" si="3"/>
        <v>16363.860395979254</v>
      </c>
    </row>
    <row r="57" spans="1:9">
      <c r="A57" s="63">
        <v>44301</v>
      </c>
      <c r="B57" s="149">
        <f t="shared" si="0"/>
        <v>2021</v>
      </c>
      <c r="C57" s="68">
        <f t="shared" si="1"/>
        <v>0.79178082191780819</v>
      </c>
      <c r="D57" s="34">
        <f>INDEX('SB 21'!$B$51:$G$51,1,$B57-2016)</f>
        <v>1537.7010196067567</v>
      </c>
      <c r="E57" s="34">
        <f>INDEX('SB 21'!$B$49:$G$49,1,$B57-2016)+INDEX('SB 21'!$B$52:$G$52,1,$B57-2016)+INDEX('SB 21'!$B$53:$G$53,1,$B57-2016)</f>
        <v>-1172.7599134531551</v>
      </c>
      <c r="F57" s="66">
        <f t="shared" si="2"/>
        <v>609.13221142056</v>
      </c>
      <c r="G57" s="13">
        <f>INDEX('PF Model'!$F$183:$K$183,1,$B57-2016)</f>
        <v>15430.470371909407</v>
      </c>
      <c r="H57" s="13">
        <f>INDEX('PF Model'!$G$182:$L$182,1,$B57-2016)</f>
        <v>1320.4936387034661</v>
      </c>
      <c r="I57" s="66">
        <f t="shared" si="3"/>
        <v>16476.011910499274</v>
      </c>
    </row>
    <row r="58" spans="1:9">
      <c r="A58" s="63">
        <v>44331</v>
      </c>
      <c r="B58" s="149">
        <f t="shared" si="0"/>
        <v>2021</v>
      </c>
      <c r="C58" s="68">
        <f t="shared" si="1"/>
        <v>0.87397260273972599</v>
      </c>
      <c r="D58" s="34">
        <f>INDEX('SB 21'!$B$51:$G$51,1,$B58-2016)</f>
        <v>1537.7010196067567</v>
      </c>
      <c r="E58" s="34">
        <f>INDEX('SB 21'!$B$49:$G$49,1,$B58-2016)+INDEX('SB 21'!$B$52:$G$52,1,$B58-2016)+INDEX('SB 21'!$B$53:$G$53,1,$B58-2016)</f>
        <v>-1172.7599134531551</v>
      </c>
      <c r="F58" s="66">
        <f t="shared" si="2"/>
        <v>512.74098565728696</v>
      </c>
      <c r="G58" s="13">
        <f>INDEX('PF Model'!$F$183:$K$183,1,$B58-2016)</f>
        <v>15430.470371909407</v>
      </c>
      <c r="H58" s="13">
        <f>INDEX('PF Model'!$G$182:$L$182,1,$B58-2016)</f>
        <v>1320.4936387034661</v>
      </c>
      <c r="I58" s="66">
        <f t="shared" si="3"/>
        <v>16584.545634228325</v>
      </c>
    </row>
    <row r="59" spans="1:9">
      <c r="A59" s="63">
        <v>44362</v>
      </c>
      <c r="B59" s="149">
        <f t="shared" si="0"/>
        <v>2021</v>
      </c>
      <c r="C59" s="68">
        <f t="shared" si="1"/>
        <v>0.95890410958904104</v>
      </c>
      <c r="D59" s="34">
        <f>INDEX('SB 21'!$B$51:$G$51,1,$B59-2016)</f>
        <v>1537.7010196067567</v>
      </c>
      <c r="E59" s="34">
        <f>INDEX('SB 21'!$B$49:$G$49,1,$B59-2016)+INDEX('SB 21'!$B$52:$G$52,1,$B59-2016)+INDEX('SB 21'!$B$53:$G$53,1,$B59-2016)</f>
        <v>-1172.7599134531551</v>
      </c>
      <c r="F59" s="66">
        <f t="shared" si="2"/>
        <v>413.13671903523823</v>
      </c>
      <c r="G59" s="13">
        <f>INDEX('PF Model'!$F$183:$K$183,1,$B59-2016)</f>
        <v>15430.470371909407</v>
      </c>
      <c r="H59" s="13">
        <f>INDEX('PF Model'!$G$182:$L$182,1,$B59-2016)</f>
        <v>1320.4936387034661</v>
      </c>
      <c r="I59" s="66">
        <f t="shared" si="3"/>
        <v>16696.697148748346</v>
      </c>
    </row>
    <row r="60" spans="1:9">
      <c r="A60" s="63">
        <v>44392</v>
      </c>
      <c r="B60" s="149">
        <f t="shared" si="0"/>
        <v>2022</v>
      </c>
      <c r="C60" s="68">
        <f t="shared" si="1"/>
        <v>4.1095890410958902E-2</v>
      </c>
      <c r="D60" s="34">
        <f>INDEX('SB 21'!$B$51:$G$51,1,$B60-2016)</f>
        <v>364.94110615360159</v>
      </c>
      <c r="E60" s="34">
        <f>INDEX('SB 21'!$B$49:$G$49,1,$B60-2016)+INDEX('SB 21'!$B$52:$G$52,1,$B60-2016)+INDEX('SB 21'!$B$53:$G$53,1,$B60-2016)</f>
        <v>-1164.3697214073911</v>
      </c>
      <c r="F60" s="66">
        <f t="shared" si="2"/>
        <v>317.09029568480469</v>
      </c>
      <c r="G60" s="13">
        <f>INDEX('PF Model'!$F$183:$K$183,1,$B60-2016)</f>
        <v>16750.964010612872</v>
      </c>
      <c r="H60" s="13">
        <f>INDEX('PF Model'!$G$182:$L$182,1,$B60-2016)</f>
        <v>467.11847675944182</v>
      </c>
      <c r="I60" s="66">
        <f t="shared" si="3"/>
        <v>16770.160660342714</v>
      </c>
    </row>
    <row r="61" spans="1:9">
      <c r="A61" s="63">
        <v>44423</v>
      </c>
      <c r="B61" s="149">
        <f t="shared" si="0"/>
        <v>2022</v>
      </c>
      <c r="C61" s="68">
        <f t="shared" si="1"/>
        <v>0.12602739726027398</v>
      </c>
      <c r="D61" s="34">
        <f>INDEX('SB 21'!$B$51:$G$51,1,$B61-2016)</f>
        <v>364.94110615360159</v>
      </c>
      <c r="E61" s="34">
        <f>INDEX('SB 21'!$B$49:$G$49,1,$B61-2016)+INDEX('SB 21'!$B$52:$G$52,1,$B61-2016)+INDEX('SB 21'!$B$53:$G$53,1,$B61-2016)</f>
        <v>-1164.3697214073911</v>
      </c>
      <c r="F61" s="66">
        <f t="shared" si="2"/>
        <v>218.19862071595776</v>
      </c>
      <c r="G61" s="13">
        <f>INDEX('PF Model'!$F$183:$K$183,1,$B61-2016)</f>
        <v>16750.964010612872</v>
      </c>
      <c r="H61" s="13">
        <f>INDEX('PF Model'!$G$182:$L$182,1,$B61-2016)</f>
        <v>467.11847675944182</v>
      </c>
      <c r="I61" s="66">
        <f t="shared" si="3"/>
        <v>16809.833736451048</v>
      </c>
    </row>
    <row r="62" spans="1:9">
      <c r="A62" s="63">
        <v>44454</v>
      </c>
      <c r="B62" s="149">
        <f t="shared" si="0"/>
        <v>2022</v>
      </c>
      <c r="C62" s="68">
        <f t="shared" si="1"/>
        <v>0.21095890410958903</v>
      </c>
      <c r="D62" s="34">
        <f>INDEX('SB 21'!$B$51:$G$51,1,$B62-2016)</f>
        <v>364.94110615360159</v>
      </c>
      <c r="E62" s="34">
        <f>INDEX('SB 21'!$B$49:$G$49,1,$B62-2016)+INDEX('SB 21'!$B$52:$G$52,1,$B62-2016)+INDEX('SB 21'!$B$53:$G$53,1,$B62-2016)</f>
        <v>-1164.3697214073911</v>
      </c>
      <c r="F62" s="66">
        <f t="shared" si="2"/>
        <v>119.30694574711086</v>
      </c>
      <c r="G62" s="13">
        <f>INDEX('PF Model'!$F$183:$K$183,1,$B62-2016)</f>
        <v>16750.964010612872</v>
      </c>
      <c r="H62" s="13">
        <f>INDEX('PF Model'!$G$182:$L$182,1,$B62-2016)</f>
        <v>467.11847675944182</v>
      </c>
      <c r="I62" s="66">
        <f t="shared" si="3"/>
        <v>16849.506812559383</v>
      </c>
    </row>
    <row r="63" spans="1:9">
      <c r="A63" s="63">
        <v>44484</v>
      </c>
      <c r="B63" s="149">
        <f t="shared" si="0"/>
        <v>2022</v>
      </c>
      <c r="C63" s="68">
        <f t="shared" si="1"/>
        <v>0.29315068493150687</v>
      </c>
      <c r="D63" s="34">
        <f>INDEX('SB 21'!$B$51:$G$51,1,$B63-2016)</f>
        <v>364.94110615360159</v>
      </c>
      <c r="E63" s="34">
        <f>INDEX('SB 21'!$B$49:$G$49,1,$B63-2016)+INDEX('SB 21'!$B$52:$G$52,1,$B63-2016)+INDEX('SB 21'!$B$53:$G$53,1,$B63-2016)</f>
        <v>-1164.3697214073911</v>
      </c>
      <c r="F63" s="66">
        <f t="shared" si="2"/>
        <v>23.605324809517072</v>
      </c>
      <c r="G63" s="13">
        <f>INDEX('PF Model'!$F$183:$K$183,1,$B63-2016)</f>
        <v>16750.964010612872</v>
      </c>
      <c r="H63" s="13">
        <f>INDEX('PF Model'!$G$182:$L$182,1,$B63-2016)</f>
        <v>467.11847675944182</v>
      </c>
      <c r="I63" s="66">
        <f t="shared" si="3"/>
        <v>16887.900112019066</v>
      </c>
    </row>
    <row r="64" spans="1:9">
      <c r="A64" s="63">
        <v>44515</v>
      </c>
      <c r="B64" s="149">
        <f t="shared" si="0"/>
        <v>2022</v>
      </c>
      <c r="C64" s="68">
        <f t="shared" si="1"/>
        <v>0.37808219178082192</v>
      </c>
      <c r="D64" s="34">
        <f>INDEX('SB 21'!$B$51:$G$51,1,$B64-2016)</f>
        <v>364.94110615360159</v>
      </c>
      <c r="E64" s="34">
        <f>INDEX('SB 21'!$B$49:$G$49,1,$B64-2016)+INDEX('SB 21'!$B$52:$G$52,1,$B64-2016)+INDEX('SB 21'!$B$53:$G$53,1,$B64-2016)</f>
        <v>-1164.3697214073911</v>
      </c>
      <c r="F64" s="66">
        <f t="shared" si="2"/>
        <v>0</v>
      </c>
      <c r="G64" s="13">
        <f>INDEX('PF Model'!$F$183:$K$183,1,$B64-2016)</f>
        <v>16750.964010612872</v>
      </c>
      <c r="H64" s="13">
        <f>INDEX('PF Model'!$G$182:$L$182,1,$B64-2016)</f>
        <v>467.11847675944182</v>
      </c>
      <c r="I64" s="66">
        <f t="shared" si="3"/>
        <v>16927.5731881274</v>
      </c>
    </row>
    <row r="65" spans="1:9">
      <c r="A65" s="63">
        <v>44545</v>
      </c>
      <c r="B65" s="149">
        <f t="shared" si="0"/>
        <v>2022</v>
      </c>
      <c r="C65" s="68">
        <f t="shared" si="1"/>
        <v>0.46027397260273972</v>
      </c>
      <c r="D65" s="34">
        <f>INDEX('SB 21'!$B$51:$G$51,1,$B65-2016)</f>
        <v>364.94110615360159</v>
      </c>
      <c r="E65" s="34">
        <f>INDEX('SB 21'!$B$49:$G$49,1,$B65-2016)+INDEX('SB 21'!$B$52:$G$52,1,$B65-2016)+INDEX('SB 21'!$B$53:$G$53,1,$B65-2016)</f>
        <v>-1164.3697214073911</v>
      </c>
      <c r="F65" s="66">
        <f t="shared" si="2"/>
        <v>0</v>
      </c>
      <c r="G65" s="13">
        <f>INDEX('PF Model'!$F$183:$K$183,1,$B65-2016)</f>
        <v>16750.964010612872</v>
      </c>
      <c r="H65" s="13">
        <f>INDEX('PF Model'!$G$182:$L$182,1,$B65-2016)</f>
        <v>467.11847675944182</v>
      </c>
      <c r="I65" s="66">
        <f t="shared" si="3"/>
        <v>16965.96648758708</v>
      </c>
    </row>
    <row r="66" spans="1:9">
      <c r="A66" s="63">
        <v>44576</v>
      </c>
      <c r="B66" s="149">
        <f t="shared" si="0"/>
        <v>2022</v>
      </c>
      <c r="C66" s="68">
        <f t="shared" si="1"/>
        <v>0.54520547945205478</v>
      </c>
      <c r="D66" s="34">
        <f>INDEX('SB 21'!$B$51:$G$51,1,$B66-2016)</f>
        <v>364.94110615360159</v>
      </c>
      <c r="E66" s="34">
        <f>INDEX('SB 21'!$B$49:$G$49,1,$B66-2016)+INDEX('SB 21'!$B$52:$G$52,1,$B66-2016)+INDEX('SB 21'!$B$53:$G$53,1,$B66-2016)</f>
        <v>-1164.3697214073911</v>
      </c>
      <c r="F66" s="66">
        <f t="shared" si="2"/>
        <v>0</v>
      </c>
      <c r="G66" s="13">
        <f>INDEX('PF Model'!$F$183:$K$183,1,$B66-2016)</f>
        <v>16750.964010612872</v>
      </c>
      <c r="H66" s="13">
        <f>INDEX('PF Model'!$G$182:$L$182,1,$B66-2016)</f>
        <v>467.11847675944182</v>
      </c>
      <c r="I66" s="66">
        <f t="shared" si="3"/>
        <v>17005.639563695418</v>
      </c>
    </row>
    <row r="67" spans="1:9">
      <c r="A67" s="63">
        <v>44607</v>
      </c>
      <c r="B67" s="149">
        <f t="shared" si="0"/>
        <v>2022</v>
      </c>
      <c r="C67" s="68">
        <f t="shared" si="1"/>
        <v>0.63013698630136983</v>
      </c>
      <c r="D67" s="34">
        <f>INDEX('SB 21'!$B$51:$G$51,1,$B67-2016)</f>
        <v>364.94110615360159</v>
      </c>
      <c r="E67" s="34">
        <f>INDEX('SB 21'!$B$49:$G$49,1,$B67-2016)+INDEX('SB 21'!$B$52:$G$52,1,$B67-2016)+INDEX('SB 21'!$B$53:$G$53,1,$B67-2016)</f>
        <v>-1164.3697214073911</v>
      </c>
      <c r="F67" s="66">
        <f t="shared" si="2"/>
        <v>0</v>
      </c>
      <c r="G67" s="13">
        <f>INDEX('PF Model'!$F$183:$K$183,1,$B67-2016)</f>
        <v>16750.964010612872</v>
      </c>
      <c r="H67" s="13">
        <f>INDEX('PF Model'!$G$182:$L$182,1,$B67-2016)</f>
        <v>467.11847675944182</v>
      </c>
      <c r="I67" s="66">
        <f t="shared" si="3"/>
        <v>17045.312639803753</v>
      </c>
    </row>
    <row r="68" spans="1:9">
      <c r="A68" s="63">
        <v>44635</v>
      </c>
      <c r="B68" s="149">
        <f t="shared" si="0"/>
        <v>2022</v>
      </c>
      <c r="C68" s="68">
        <f t="shared" si="1"/>
        <v>0.70684931506849313</v>
      </c>
      <c r="D68" s="34">
        <f>INDEX('SB 21'!$B$51:$G$51,1,$B68-2016)</f>
        <v>364.94110615360159</v>
      </c>
      <c r="E68" s="34">
        <f>INDEX('SB 21'!$B$49:$G$49,1,$B68-2016)+INDEX('SB 21'!$B$52:$G$52,1,$B68-2016)+INDEX('SB 21'!$B$53:$G$53,1,$B68-2016)</f>
        <v>-1164.3697214073911</v>
      </c>
      <c r="F68" s="66">
        <f t="shared" si="2"/>
        <v>0</v>
      </c>
      <c r="G68" s="13">
        <f>INDEX('PF Model'!$F$183:$K$183,1,$B68-2016)</f>
        <v>16750.964010612872</v>
      </c>
      <c r="H68" s="13">
        <f>INDEX('PF Model'!$G$182:$L$182,1,$B68-2016)</f>
        <v>467.11847675944182</v>
      </c>
      <c r="I68" s="66">
        <f t="shared" si="3"/>
        <v>17081.14638596612</v>
      </c>
    </row>
    <row r="69" spans="1:9">
      <c r="A69" s="63">
        <v>44666</v>
      </c>
      <c r="B69" s="149">
        <f t="shared" si="0"/>
        <v>2022</v>
      </c>
      <c r="C69" s="68">
        <f t="shared" si="1"/>
        <v>0.79178082191780819</v>
      </c>
      <c r="D69" s="34">
        <f>INDEX('SB 21'!$B$51:$G$51,1,$B69-2016)</f>
        <v>364.94110615360159</v>
      </c>
      <c r="E69" s="34">
        <f>INDEX('SB 21'!$B$49:$G$49,1,$B69-2016)+INDEX('SB 21'!$B$52:$G$52,1,$B69-2016)+INDEX('SB 21'!$B$53:$G$53,1,$B69-2016)</f>
        <v>-1164.3697214073911</v>
      </c>
      <c r="F69" s="66">
        <f t="shared" si="2"/>
        <v>0</v>
      </c>
      <c r="G69" s="13">
        <f>INDEX('PF Model'!$F$183:$K$183,1,$B69-2016)</f>
        <v>16750.964010612872</v>
      </c>
      <c r="H69" s="13">
        <f>INDEX('PF Model'!$G$182:$L$182,1,$B69-2016)</f>
        <v>467.11847675944182</v>
      </c>
      <c r="I69" s="66">
        <f t="shared" si="3"/>
        <v>17120.819462074458</v>
      </c>
    </row>
    <row r="70" spans="1:9">
      <c r="A70" s="63">
        <v>44696</v>
      </c>
      <c r="B70" s="149">
        <f t="shared" si="0"/>
        <v>2022</v>
      </c>
      <c r="C70" s="68">
        <f t="shared" si="1"/>
        <v>0.87397260273972599</v>
      </c>
      <c r="D70" s="34">
        <f>INDEX('SB 21'!$B$51:$G$51,1,$B70-2016)</f>
        <v>364.94110615360159</v>
      </c>
      <c r="E70" s="34">
        <f>INDEX('SB 21'!$B$49:$G$49,1,$B70-2016)+INDEX('SB 21'!$B$52:$G$52,1,$B70-2016)+INDEX('SB 21'!$B$53:$G$53,1,$B70-2016)</f>
        <v>-1164.3697214073911</v>
      </c>
      <c r="F70" s="66">
        <f t="shared" si="2"/>
        <v>0</v>
      </c>
      <c r="G70" s="13">
        <f>INDEX('PF Model'!$F$183:$K$183,1,$B70-2016)</f>
        <v>16750.964010612872</v>
      </c>
      <c r="H70" s="13">
        <f>INDEX('PF Model'!$G$182:$L$182,1,$B70-2016)</f>
        <v>467.11847675944182</v>
      </c>
      <c r="I70" s="66">
        <f t="shared" si="3"/>
        <v>17159.212761534138</v>
      </c>
    </row>
    <row r="71" spans="1:9">
      <c r="A71" s="63">
        <v>44727</v>
      </c>
      <c r="B71" s="149">
        <f t="shared" si="0"/>
        <v>2022</v>
      </c>
      <c r="C71" s="68">
        <f t="shared" si="1"/>
        <v>0.95890410958904104</v>
      </c>
      <c r="D71" s="34">
        <f>INDEX('SB 21'!$B$51:$G$51,1,$B71-2016)</f>
        <v>364.94110615360159</v>
      </c>
      <c r="E71" s="34">
        <f>INDEX('SB 21'!$B$49:$G$49,1,$B71-2016)+INDEX('SB 21'!$B$52:$G$52,1,$B71-2016)+INDEX('SB 21'!$B$53:$G$53,1,$B71-2016)</f>
        <v>-1164.3697214073911</v>
      </c>
      <c r="F71" s="66">
        <f t="shared" si="2"/>
        <v>0</v>
      </c>
      <c r="G71" s="13">
        <f>INDEX('PF Model'!$F$183:$K$183,1,$B71-2016)</f>
        <v>16750.964010612872</v>
      </c>
      <c r="H71" s="13">
        <f>INDEX('PF Model'!$G$182:$L$182,1,$B71-2016)</f>
        <v>467.11847675944182</v>
      </c>
      <c r="I71" s="66">
        <f t="shared" si="3"/>
        <v>17198.885837642472</v>
      </c>
    </row>
    <row r="72" spans="1:9">
      <c r="A72" s="63">
        <v>44742</v>
      </c>
      <c r="B72" s="149">
        <f t="shared" si="0"/>
        <v>2022</v>
      </c>
      <c r="C72" s="70">
        <f t="shared" si="1"/>
        <v>1</v>
      </c>
      <c r="D72" s="34">
        <f>INDEX('SB 21'!$B$51:$G$51,1,$B72-2016)</f>
        <v>364.94110615360159</v>
      </c>
      <c r="E72" s="34">
        <f>INDEX('SB 21'!$B$49:$G$49,1,$B72-2016)+INDEX('SB 21'!$B$52:$G$52,1,$B72-2016)+INDEX('SB 21'!$B$53:$G$53,1,$B72-2016)</f>
        <v>-1164.3697214073911</v>
      </c>
      <c r="F72" s="66">
        <f t="shared" si="2"/>
        <v>0</v>
      </c>
      <c r="G72" s="13">
        <f>INDEX('PF Model'!$F$183:$K$183,1,$B72-2016)</f>
        <v>16750.964010612872</v>
      </c>
      <c r="H72" s="13">
        <f>INDEX('PF Model'!$G$182:$L$182,1,$B72-2016)</f>
        <v>467.11847675944182</v>
      </c>
      <c r="I72" s="66">
        <f t="shared" si="3"/>
        <v>17218.082487372314</v>
      </c>
    </row>
    <row r="74" spans="1:9">
      <c r="F74" s="112">
        <f>F72/-E72</f>
        <v>0</v>
      </c>
      <c r="G74" s="149" t="s">
        <v>173</v>
      </c>
    </row>
    <row r="75" spans="1:9">
      <c r="F75" s="63">
        <f>A72+F74*365</f>
        <v>44742</v>
      </c>
    </row>
    <row r="76" spans="1:9">
      <c r="F76" s="103">
        <f>YEARFRAC(F75,DATE(YEAR(F75), 1,1))+YEAR(F75)</f>
        <v>2022.4972222222223</v>
      </c>
    </row>
    <row r="1838" spans="1:1">
      <c r="A1838" s="63"/>
    </row>
    <row r="1839" spans="1:1">
      <c r="A1839" s="63"/>
    </row>
    <row r="1840" spans="1:1">
      <c r="A1840" s="63"/>
    </row>
    <row r="1841" spans="1:1">
      <c r="A1841" s="63"/>
    </row>
    <row r="1842" spans="1:1">
      <c r="A1842" s="63"/>
    </row>
    <row r="1843" spans="1:1">
      <c r="A1843" s="63"/>
    </row>
    <row r="1844" spans="1:1">
      <c r="A1844" s="63"/>
    </row>
    <row r="1845" spans="1:1">
      <c r="A1845" s="63"/>
    </row>
    <row r="1846" spans="1:1">
      <c r="A1846" s="63"/>
    </row>
    <row r="1847" spans="1:1">
      <c r="A1847" s="63"/>
    </row>
    <row r="1848" spans="1:1">
      <c r="A1848" s="63"/>
    </row>
    <row r="1849" spans="1:1">
      <c r="A1849" s="63"/>
    </row>
    <row r="1850" spans="1:1">
      <c r="A1850" s="63"/>
    </row>
    <row r="1851" spans="1:1">
      <c r="A1851" s="63"/>
    </row>
    <row r="1852" spans="1:1">
      <c r="A1852" s="63"/>
    </row>
    <row r="1853" spans="1:1">
      <c r="A1853" s="63"/>
    </row>
    <row r="1854" spans="1:1">
      <c r="A1854" s="63"/>
    </row>
    <row r="1855" spans="1:1">
      <c r="A1855" s="63"/>
    </row>
    <row r="1856" spans="1:1">
      <c r="A1856" s="63"/>
    </row>
    <row r="1857" spans="1:1">
      <c r="A1857" s="63"/>
    </row>
    <row r="1858" spans="1:1">
      <c r="A1858" s="63"/>
    </row>
    <row r="1859" spans="1:1">
      <c r="A1859" s="63"/>
    </row>
    <row r="1860" spans="1:1">
      <c r="A1860" s="63"/>
    </row>
    <row r="1861" spans="1:1">
      <c r="A1861" s="63"/>
    </row>
    <row r="1862" spans="1:1">
      <c r="A1862" s="63"/>
    </row>
    <row r="1863" spans="1:1">
      <c r="A1863" s="63"/>
    </row>
    <row r="1864" spans="1:1">
      <c r="A1864" s="63"/>
    </row>
    <row r="1865" spans="1:1">
      <c r="A1865" s="63"/>
    </row>
    <row r="1866" spans="1:1">
      <c r="A1866" s="63"/>
    </row>
    <row r="1867" spans="1:1">
      <c r="A1867" s="63"/>
    </row>
    <row r="1868" spans="1:1">
      <c r="A1868" s="63"/>
    </row>
    <row r="1869" spans="1:1">
      <c r="A1869" s="63"/>
    </row>
    <row r="1870" spans="1:1">
      <c r="A1870" s="63"/>
    </row>
    <row r="1871" spans="1:1">
      <c r="A1871" s="63"/>
    </row>
    <row r="1872" spans="1:1">
      <c r="A1872" s="63"/>
    </row>
    <row r="1873" spans="1:1">
      <c r="A1873" s="63"/>
    </row>
    <row r="1874" spans="1:1">
      <c r="A1874" s="63"/>
    </row>
    <row r="1875" spans="1:1">
      <c r="A1875" s="63"/>
    </row>
    <row r="1876" spans="1:1">
      <c r="A1876" s="63"/>
    </row>
    <row r="1877" spans="1:1">
      <c r="A1877" s="63"/>
    </row>
    <row r="1878" spans="1:1">
      <c r="A1878" s="63"/>
    </row>
    <row r="1879" spans="1:1">
      <c r="A1879" s="63"/>
    </row>
    <row r="1880" spans="1:1">
      <c r="A1880" s="63"/>
    </row>
    <row r="1881" spans="1:1">
      <c r="A1881" s="63"/>
    </row>
    <row r="1882" spans="1:1">
      <c r="A1882" s="63"/>
    </row>
    <row r="1883" spans="1:1">
      <c r="A1883" s="63"/>
    </row>
    <row r="1884" spans="1:1">
      <c r="A1884" s="63"/>
    </row>
    <row r="1885" spans="1:1">
      <c r="A1885" s="63"/>
    </row>
    <row r="1886" spans="1:1">
      <c r="A1886" s="63"/>
    </row>
    <row r="1887" spans="1:1">
      <c r="A1887" s="63"/>
    </row>
    <row r="1888" spans="1:1">
      <c r="A1888" s="63"/>
    </row>
    <row r="1889" spans="1:1">
      <c r="A1889" s="63"/>
    </row>
    <row r="1890" spans="1:1">
      <c r="A1890" s="63"/>
    </row>
    <row r="1891" spans="1:1">
      <c r="A1891" s="63"/>
    </row>
    <row r="1892" spans="1:1">
      <c r="A1892" s="63"/>
    </row>
    <row r="1893" spans="1:1">
      <c r="A1893" s="63"/>
    </row>
    <row r="1894" spans="1:1">
      <c r="A1894" s="63"/>
    </row>
    <row r="1895" spans="1:1">
      <c r="A1895" s="63"/>
    </row>
    <row r="1896" spans="1:1">
      <c r="A1896" s="63"/>
    </row>
    <row r="1897" spans="1:1">
      <c r="A1897" s="63"/>
    </row>
    <row r="1898" spans="1:1">
      <c r="A1898" s="63"/>
    </row>
    <row r="1899" spans="1:1">
      <c r="A1899" s="63"/>
    </row>
    <row r="1900" spans="1:1">
      <c r="A1900" s="63"/>
    </row>
    <row r="1901" spans="1:1">
      <c r="A1901" s="63"/>
    </row>
    <row r="1902" spans="1:1">
      <c r="A1902" s="63"/>
    </row>
    <row r="1903" spans="1:1">
      <c r="A1903" s="63"/>
    </row>
    <row r="1904" spans="1:1">
      <c r="A1904" s="63"/>
    </row>
    <row r="1905" spans="1:1">
      <c r="A1905" s="63"/>
    </row>
    <row r="1906" spans="1:1">
      <c r="A1906" s="63"/>
    </row>
    <row r="1907" spans="1:1">
      <c r="A1907" s="63"/>
    </row>
    <row r="1908" spans="1:1">
      <c r="A1908" s="63"/>
    </row>
    <row r="1909" spans="1:1">
      <c r="A1909" s="63"/>
    </row>
    <row r="1910" spans="1:1">
      <c r="A1910" s="63"/>
    </row>
    <row r="1911" spans="1:1">
      <c r="A1911" s="63"/>
    </row>
    <row r="1912" spans="1:1">
      <c r="A1912" s="63"/>
    </row>
    <row r="1913" spans="1:1">
      <c r="A1913" s="63"/>
    </row>
    <row r="1914" spans="1:1">
      <c r="A1914" s="63"/>
    </row>
    <row r="1915" spans="1:1">
      <c r="A1915" s="63"/>
    </row>
    <row r="1916" spans="1:1">
      <c r="A1916" s="63"/>
    </row>
    <row r="1917" spans="1:1">
      <c r="A1917" s="63"/>
    </row>
    <row r="1918" spans="1:1">
      <c r="A1918" s="63"/>
    </row>
    <row r="1919" spans="1:1">
      <c r="A1919" s="63"/>
    </row>
    <row r="1920" spans="1:1">
      <c r="A1920" s="63"/>
    </row>
    <row r="1921" spans="1:1">
      <c r="A1921" s="63"/>
    </row>
    <row r="1922" spans="1:1">
      <c r="A1922" s="63"/>
    </row>
    <row r="1923" spans="1:1">
      <c r="A1923" s="63"/>
    </row>
    <row r="1924" spans="1:1">
      <c r="A1924" s="63"/>
    </row>
    <row r="1925" spans="1:1">
      <c r="A1925" s="63"/>
    </row>
    <row r="1926" spans="1:1">
      <c r="A1926" s="63"/>
    </row>
    <row r="1927" spans="1:1">
      <c r="A1927" s="63"/>
    </row>
    <row r="1928" spans="1:1">
      <c r="A1928" s="63"/>
    </row>
    <row r="1929" spans="1:1">
      <c r="A1929" s="63"/>
    </row>
    <row r="1930" spans="1:1">
      <c r="A1930" s="63"/>
    </row>
    <row r="1931" spans="1:1">
      <c r="A1931" s="63"/>
    </row>
    <row r="1932" spans="1:1">
      <c r="A1932" s="63"/>
    </row>
    <row r="1933" spans="1:1">
      <c r="A1933" s="63"/>
    </row>
    <row r="1934" spans="1:1">
      <c r="A1934" s="63"/>
    </row>
    <row r="1935" spans="1:1">
      <c r="A1935" s="63"/>
    </row>
    <row r="1936" spans="1:1">
      <c r="A1936" s="63"/>
    </row>
    <row r="1937" spans="1:1">
      <c r="A1937" s="63"/>
    </row>
    <row r="1938" spans="1:1">
      <c r="A1938" s="63"/>
    </row>
    <row r="1939" spans="1:1">
      <c r="A1939" s="63"/>
    </row>
    <row r="1940" spans="1:1">
      <c r="A1940" s="63"/>
    </row>
    <row r="1941" spans="1:1">
      <c r="A1941" s="63"/>
    </row>
    <row r="1942" spans="1:1">
      <c r="A1942" s="63"/>
    </row>
    <row r="1943" spans="1:1">
      <c r="A1943" s="63"/>
    </row>
    <row r="1944" spans="1:1">
      <c r="A1944" s="63"/>
    </row>
    <row r="1945" spans="1:1">
      <c r="A1945" s="63"/>
    </row>
    <row r="1946" spans="1:1">
      <c r="A1946" s="63"/>
    </row>
    <row r="1947" spans="1:1">
      <c r="A1947" s="63"/>
    </row>
    <row r="1948" spans="1:1">
      <c r="A1948" s="63"/>
    </row>
    <row r="1949" spans="1:1">
      <c r="A1949" s="63"/>
    </row>
    <row r="1950" spans="1:1">
      <c r="A1950" s="63"/>
    </row>
    <row r="1951" spans="1:1">
      <c r="A1951" s="63"/>
    </row>
    <row r="1952" spans="1:1">
      <c r="A1952" s="63"/>
    </row>
    <row r="1953" spans="1:1">
      <c r="A1953" s="63"/>
    </row>
    <row r="1954" spans="1:1">
      <c r="A1954" s="63"/>
    </row>
    <row r="1955" spans="1:1">
      <c r="A1955" s="63"/>
    </row>
    <row r="1956" spans="1:1">
      <c r="A1956" s="63"/>
    </row>
    <row r="1957" spans="1:1">
      <c r="A1957" s="63"/>
    </row>
    <row r="1958" spans="1:1">
      <c r="A1958" s="63"/>
    </row>
    <row r="1959" spans="1:1">
      <c r="A1959" s="63"/>
    </row>
    <row r="1960" spans="1:1">
      <c r="A1960" s="63"/>
    </row>
    <row r="1961" spans="1:1">
      <c r="A1961" s="63"/>
    </row>
    <row r="1962" spans="1:1">
      <c r="A1962" s="63"/>
    </row>
    <row r="1963" spans="1:1">
      <c r="A1963" s="63"/>
    </row>
    <row r="1964" spans="1:1">
      <c r="A1964" s="63"/>
    </row>
    <row r="1965" spans="1:1">
      <c r="A1965" s="63"/>
    </row>
    <row r="1966" spans="1:1">
      <c r="A1966" s="63"/>
    </row>
    <row r="1967" spans="1:1">
      <c r="A1967" s="63"/>
    </row>
    <row r="1968" spans="1:1">
      <c r="A1968" s="63"/>
    </row>
    <row r="1969" spans="1:1">
      <c r="A1969" s="63"/>
    </row>
    <row r="1970" spans="1:1">
      <c r="A1970" s="63"/>
    </row>
    <row r="1971" spans="1:1">
      <c r="A1971" s="63"/>
    </row>
    <row r="1972" spans="1:1">
      <c r="A1972" s="63"/>
    </row>
    <row r="1973" spans="1:1">
      <c r="A1973" s="63"/>
    </row>
    <row r="1974" spans="1:1">
      <c r="A1974" s="63"/>
    </row>
    <row r="1975" spans="1:1">
      <c r="A1975" s="63"/>
    </row>
    <row r="1976" spans="1:1">
      <c r="A1976" s="63"/>
    </row>
    <row r="1977" spans="1:1">
      <c r="A1977" s="63"/>
    </row>
    <row r="1978" spans="1:1">
      <c r="A1978" s="63"/>
    </row>
    <row r="1979" spans="1:1">
      <c r="A1979" s="63"/>
    </row>
    <row r="1980" spans="1:1">
      <c r="A1980" s="63"/>
    </row>
    <row r="1981" spans="1:1">
      <c r="A1981" s="63"/>
    </row>
    <row r="1982" spans="1:1">
      <c r="A1982" s="63"/>
    </row>
    <row r="1983" spans="1:1">
      <c r="A1983" s="63"/>
    </row>
    <row r="1984" spans="1:1">
      <c r="A1984" s="63"/>
    </row>
    <row r="1985" spans="1:1">
      <c r="A1985" s="63"/>
    </row>
    <row r="1986" spans="1:1">
      <c r="A1986" s="63"/>
    </row>
    <row r="1987" spans="1:1">
      <c r="A1987" s="63"/>
    </row>
    <row r="1988" spans="1:1">
      <c r="A1988" s="63"/>
    </row>
    <row r="1989" spans="1:1">
      <c r="A1989" s="63"/>
    </row>
    <row r="1990" spans="1:1">
      <c r="A1990" s="63"/>
    </row>
    <row r="1991" spans="1:1">
      <c r="A1991" s="63"/>
    </row>
    <row r="1992" spans="1:1">
      <c r="A1992" s="63"/>
    </row>
    <row r="1993" spans="1:1">
      <c r="A1993" s="63"/>
    </row>
    <row r="1994" spans="1:1">
      <c r="A1994" s="63"/>
    </row>
    <row r="1995" spans="1:1">
      <c r="A1995" s="63"/>
    </row>
    <row r="1996" spans="1:1">
      <c r="A1996" s="63"/>
    </row>
    <row r="1997" spans="1:1">
      <c r="A1997" s="63"/>
    </row>
    <row r="1998" spans="1:1">
      <c r="A1998" s="63"/>
    </row>
    <row r="1999" spans="1:1">
      <c r="A1999" s="63"/>
    </row>
    <row r="2000" spans="1:1">
      <c r="A2000" s="63"/>
    </row>
    <row r="2001" spans="1:1">
      <c r="A2001" s="63"/>
    </row>
    <row r="2002" spans="1:1">
      <c r="A2002" s="63"/>
    </row>
    <row r="2003" spans="1:1">
      <c r="A2003" s="63"/>
    </row>
    <row r="2004" spans="1:1">
      <c r="A2004" s="63"/>
    </row>
    <row r="2005" spans="1:1">
      <c r="A2005" s="63"/>
    </row>
    <row r="2006" spans="1:1">
      <c r="A2006" s="63"/>
    </row>
    <row r="2007" spans="1:1">
      <c r="A2007" s="63"/>
    </row>
    <row r="2008" spans="1:1">
      <c r="A2008" s="63"/>
    </row>
    <row r="2009" spans="1:1">
      <c r="A2009" s="63"/>
    </row>
    <row r="2010" spans="1:1">
      <c r="A2010" s="63"/>
    </row>
    <row r="2011" spans="1:1">
      <c r="A2011" s="63"/>
    </row>
    <row r="2012" spans="1:1">
      <c r="A2012" s="63"/>
    </row>
    <row r="2013" spans="1:1">
      <c r="A2013" s="63"/>
    </row>
    <row r="2014" spans="1:1">
      <c r="A2014" s="63"/>
    </row>
    <row r="2015" spans="1:1">
      <c r="A2015" s="63"/>
    </row>
    <row r="2016" spans="1:1">
      <c r="A2016" s="63"/>
    </row>
    <row r="2017" spans="1:1">
      <c r="A2017" s="63"/>
    </row>
    <row r="2018" spans="1:1">
      <c r="A2018" s="63"/>
    </row>
    <row r="2019" spans="1:1">
      <c r="A2019" s="63"/>
    </row>
    <row r="2020" spans="1:1">
      <c r="A2020" s="63"/>
    </row>
    <row r="2021" spans="1:1">
      <c r="A2021" s="63"/>
    </row>
    <row r="2022" spans="1:1">
      <c r="A2022" s="63"/>
    </row>
    <row r="2023" spans="1:1">
      <c r="A2023" s="63"/>
    </row>
    <row r="2024" spans="1:1">
      <c r="A2024" s="63"/>
    </row>
    <row r="2025" spans="1:1">
      <c r="A2025" s="63"/>
    </row>
    <row r="2026" spans="1:1">
      <c r="A2026" s="63"/>
    </row>
    <row r="2027" spans="1:1">
      <c r="A2027" s="63"/>
    </row>
    <row r="2028" spans="1:1">
      <c r="A2028" s="63"/>
    </row>
    <row r="2029" spans="1:1">
      <c r="A2029" s="63"/>
    </row>
    <row r="2030" spans="1:1">
      <c r="A2030" s="63"/>
    </row>
    <row r="2031" spans="1:1">
      <c r="A2031" s="63"/>
    </row>
    <row r="2032" spans="1:1">
      <c r="A2032" s="63"/>
    </row>
    <row r="2033" spans="1:1">
      <c r="A2033" s="63"/>
    </row>
    <row r="2034" spans="1:1">
      <c r="A2034" s="63"/>
    </row>
    <row r="2035" spans="1:1">
      <c r="A2035" s="63"/>
    </row>
    <row r="2036" spans="1:1">
      <c r="A2036" s="63"/>
    </row>
    <row r="2037" spans="1:1">
      <c r="A2037" s="63"/>
    </row>
    <row r="2038" spans="1:1">
      <c r="A2038" s="63"/>
    </row>
    <row r="2039" spans="1:1">
      <c r="A2039" s="63"/>
    </row>
    <row r="2040" spans="1:1">
      <c r="A2040" s="63"/>
    </row>
    <row r="2041" spans="1:1">
      <c r="A2041" s="63"/>
    </row>
    <row r="2042" spans="1:1">
      <c r="A2042" s="63"/>
    </row>
    <row r="2043" spans="1:1">
      <c r="A2043" s="63"/>
    </row>
    <row r="2044" spans="1:1">
      <c r="A2044" s="63"/>
    </row>
    <row r="2045" spans="1:1">
      <c r="A2045" s="63"/>
    </row>
    <row r="2046" spans="1:1">
      <c r="A2046" s="63"/>
    </row>
    <row r="2047" spans="1:1">
      <c r="A2047" s="63"/>
    </row>
    <row r="2048" spans="1:1">
      <c r="A2048" s="63"/>
    </row>
    <row r="2049" spans="1:1">
      <c r="A2049" s="63"/>
    </row>
    <row r="2050" spans="1:1">
      <c r="A2050" s="63"/>
    </row>
    <row r="2051" spans="1:1">
      <c r="A2051" s="63"/>
    </row>
    <row r="2052" spans="1:1">
      <c r="A2052" s="63"/>
    </row>
    <row r="2053" spans="1:1">
      <c r="A2053" s="63"/>
    </row>
    <row r="2054" spans="1:1">
      <c r="A2054" s="63"/>
    </row>
    <row r="2055" spans="1:1">
      <c r="A2055" s="63"/>
    </row>
    <row r="2056" spans="1:1">
      <c r="A2056" s="63"/>
    </row>
    <row r="2057" spans="1:1">
      <c r="A2057" s="63"/>
    </row>
    <row r="2058" spans="1:1">
      <c r="A2058" s="63"/>
    </row>
    <row r="2059" spans="1:1">
      <c r="A2059" s="63"/>
    </row>
    <row r="2060" spans="1:1">
      <c r="A2060" s="63"/>
    </row>
    <row r="2061" spans="1:1">
      <c r="A2061" s="63"/>
    </row>
    <row r="2062" spans="1:1">
      <c r="A2062" s="63"/>
    </row>
    <row r="2063" spans="1:1">
      <c r="A2063" s="63"/>
    </row>
    <row r="2064" spans="1:1">
      <c r="A2064" s="63"/>
    </row>
    <row r="2065" spans="1:1">
      <c r="A2065" s="63"/>
    </row>
    <row r="2066" spans="1:1">
      <c r="A2066" s="63"/>
    </row>
    <row r="2067" spans="1:1">
      <c r="A2067" s="63"/>
    </row>
    <row r="2068" spans="1:1">
      <c r="A2068" s="63"/>
    </row>
    <row r="2069" spans="1:1">
      <c r="A2069" s="63"/>
    </row>
    <row r="2070" spans="1:1">
      <c r="A2070" s="63"/>
    </row>
    <row r="2071" spans="1:1">
      <c r="A2071" s="63"/>
    </row>
    <row r="2072" spans="1:1">
      <c r="A2072" s="63"/>
    </row>
    <row r="2073" spans="1:1">
      <c r="A2073" s="63"/>
    </row>
    <row r="2074" spans="1:1">
      <c r="A2074" s="63"/>
    </row>
    <row r="2075" spans="1:1">
      <c r="A2075" s="63"/>
    </row>
    <row r="2076" spans="1:1">
      <c r="A2076" s="63"/>
    </row>
    <row r="2077" spans="1:1">
      <c r="A2077" s="63"/>
    </row>
    <row r="2078" spans="1:1">
      <c r="A2078" s="63"/>
    </row>
    <row r="2079" spans="1:1">
      <c r="A2079" s="63"/>
    </row>
    <row r="2080" spans="1:1">
      <c r="A2080" s="63"/>
    </row>
    <row r="2081" spans="1:1">
      <c r="A2081" s="63"/>
    </row>
    <row r="2082" spans="1:1">
      <c r="A2082" s="63"/>
    </row>
    <row r="2083" spans="1:1">
      <c r="A2083" s="63"/>
    </row>
    <row r="2084" spans="1:1">
      <c r="A2084" s="63"/>
    </row>
    <row r="2085" spans="1:1">
      <c r="A2085" s="63"/>
    </row>
    <row r="2086" spans="1:1">
      <c r="A2086" s="63"/>
    </row>
    <row r="2087" spans="1:1">
      <c r="A2087" s="63"/>
    </row>
    <row r="2088" spans="1:1">
      <c r="A2088" s="63"/>
    </row>
    <row r="2089" spans="1:1">
      <c r="A2089" s="63"/>
    </row>
    <row r="2090" spans="1:1">
      <c r="A2090" s="63"/>
    </row>
    <row r="2091" spans="1:1">
      <c r="A2091" s="63"/>
    </row>
    <row r="2092" spans="1:1">
      <c r="A2092" s="63"/>
    </row>
    <row r="2093" spans="1:1">
      <c r="A2093" s="63"/>
    </row>
    <row r="2094" spans="1:1">
      <c r="A2094" s="63"/>
    </row>
    <row r="2095" spans="1:1">
      <c r="A2095" s="63"/>
    </row>
    <row r="2096" spans="1:1">
      <c r="A2096" s="63"/>
    </row>
    <row r="2097" spans="1:1">
      <c r="A2097" s="63"/>
    </row>
    <row r="2098" spans="1:1">
      <c r="A2098" s="63"/>
    </row>
    <row r="2099" spans="1:1">
      <c r="A2099" s="63"/>
    </row>
    <row r="2100" spans="1:1">
      <c r="A2100" s="63"/>
    </row>
    <row r="2101" spans="1:1">
      <c r="A2101" s="63"/>
    </row>
    <row r="2102" spans="1:1">
      <c r="A2102" s="63"/>
    </row>
    <row r="2103" spans="1:1">
      <c r="A2103" s="63"/>
    </row>
    <row r="2104" spans="1:1">
      <c r="A2104" s="63"/>
    </row>
    <row r="2105" spans="1:1">
      <c r="A2105" s="63"/>
    </row>
    <row r="2106" spans="1:1">
      <c r="A2106" s="63"/>
    </row>
    <row r="2107" spans="1:1">
      <c r="A2107" s="63"/>
    </row>
    <row r="2108" spans="1:1">
      <c r="A2108" s="63"/>
    </row>
    <row r="2109" spans="1:1">
      <c r="A2109" s="63"/>
    </row>
    <row r="2110" spans="1:1">
      <c r="A2110" s="63"/>
    </row>
    <row r="2111" spans="1:1">
      <c r="A2111" s="63"/>
    </row>
    <row r="2112" spans="1:1">
      <c r="A2112" s="63"/>
    </row>
    <row r="2113" spans="1:1">
      <c r="A2113" s="63"/>
    </row>
    <row r="2114" spans="1:1">
      <c r="A2114" s="63"/>
    </row>
    <row r="2115" spans="1:1">
      <c r="A2115" s="63"/>
    </row>
    <row r="2116" spans="1:1">
      <c r="A2116" s="63"/>
    </row>
    <row r="2117" spans="1:1">
      <c r="A2117" s="63"/>
    </row>
    <row r="2118" spans="1:1">
      <c r="A2118" s="63"/>
    </row>
    <row r="2119" spans="1:1">
      <c r="A2119" s="63"/>
    </row>
    <row r="2120" spans="1:1">
      <c r="A2120" s="63"/>
    </row>
    <row r="2121" spans="1:1">
      <c r="A2121" s="63"/>
    </row>
    <row r="2122" spans="1:1">
      <c r="A2122" s="63"/>
    </row>
    <row r="2123" spans="1:1">
      <c r="A2123" s="63"/>
    </row>
    <row r="2124" spans="1:1">
      <c r="A2124" s="63"/>
    </row>
    <row r="2125" spans="1:1">
      <c r="A2125" s="63"/>
    </row>
    <row r="2126" spans="1:1">
      <c r="A2126" s="63"/>
    </row>
    <row r="2127" spans="1:1">
      <c r="A2127" s="63"/>
    </row>
    <row r="2128" spans="1:1">
      <c r="A2128" s="63"/>
    </row>
    <row r="2129" spans="1:1">
      <c r="A2129" s="63"/>
    </row>
    <row r="2130" spans="1:1">
      <c r="A2130" s="63"/>
    </row>
    <row r="2131" spans="1:1">
      <c r="A2131" s="63"/>
    </row>
    <row r="2132" spans="1:1">
      <c r="A2132" s="63"/>
    </row>
    <row r="2133" spans="1:1">
      <c r="A2133" s="63"/>
    </row>
    <row r="2134" spans="1:1">
      <c r="A2134" s="63"/>
    </row>
    <row r="2135" spans="1:1">
      <c r="A2135" s="63"/>
    </row>
    <row r="2136" spans="1:1">
      <c r="A2136" s="63"/>
    </row>
  </sheetData>
  <mergeCells count="2">
    <mergeCell ref="D9:F9"/>
    <mergeCell ref="G9:I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I2136"/>
  <sheetViews>
    <sheetView workbookViewId="0">
      <selection activeCell="E11" sqref="E11"/>
    </sheetView>
  </sheetViews>
  <sheetFormatPr defaultColWidth="9.140625" defaultRowHeight="15"/>
  <cols>
    <col min="1" max="1" width="10.85546875" style="149" customWidth="1"/>
    <col min="2" max="2" width="9.140625" style="149"/>
    <col min="3" max="3" width="9.7109375" style="149" bestFit="1" customWidth="1"/>
    <col min="4" max="4" width="9.7109375" style="149" customWidth="1"/>
    <col min="5" max="5" width="9.42578125" style="149" bestFit="1" customWidth="1"/>
    <col min="6" max="6" width="10.5703125" style="149" customWidth="1"/>
    <col min="7" max="8" width="9.5703125" style="149" bestFit="1" customWidth="1"/>
    <col min="9" max="9" width="9.7109375" style="149" customWidth="1"/>
    <col min="10" max="16384" width="9.140625" style="149"/>
  </cols>
  <sheetData>
    <row r="1" spans="1:9" ht="18.75">
      <c r="A1" s="18" t="s">
        <v>678</v>
      </c>
    </row>
    <row r="3" spans="1:9" ht="15.75">
      <c r="A3" s="21" t="s">
        <v>167</v>
      </c>
    </row>
    <row r="4" spans="1:9">
      <c r="A4" s="149" t="s">
        <v>168</v>
      </c>
    </row>
    <row r="6" spans="1:9">
      <c r="C6" s="36" t="s">
        <v>165</v>
      </c>
      <c r="F6" s="63" t="e">
        <f>INDEX($A11:$A72,MATCH(0,F11:F72,0))</f>
        <v>#N/A</v>
      </c>
    </row>
    <row r="7" spans="1:9">
      <c r="C7" s="36" t="s">
        <v>166</v>
      </c>
      <c r="F7" s="103" t="e">
        <f>YEARFRAC(F6,DATE(YEAR(F6), 1,1))+YEAR(F6)</f>
        <v>#N/A</v>
      </c>
    </row>
    <row r="8" spans="1:9" ht="7.5" customHeight="1"/>
    <row r="9" spans="1:9">
      <c r="C9" s="47"/>
      <c r="D9" s="384" t="s">
        <v>226</v>
      </c>
      <c r="E9" s="384"/>
      <c r="F9" s="385"/>
      <c r="G9" s="383" t="s">
        <v>227</v>
      </c>
      <c r="H9" s="383"/>
      <c r="I9" s="383"/>
    </row>
    <row r="10" spans="1:9" ht="75">
      <c r="A10" s="14" t="s">
        <v>113</v>
      </c>
      <c r="B10" s="14" t="s">
        <v>114</v>
      </c>
      <c r="C10" s="67" t="s">
        <v>115</v>
      </c>
      <c r="D10" s="64" t="s">
        <v>123</v>
      </c>
      <c r="E10" s="64" t="s">
        <v>121</v>
      </c>
      <c r="F10" s="65" t="s">
        <v>117</v>
      </c>
      <c r="G10" s="111" t="s">
        <v>161</v>
      </c>
      <c r="H10" s="14" t="s">
        <v>164</v>
      </c>
      <c r="I10" s="67" t="s">
        <v>162</v>
      </c>
    </row>
    <row r="11" spans="1:9">
      <c r="A11" s="63">
        <v>42916</v>
      </c>
      <c r="B11" s="149">
        <f>IF(MONTH(A11)&gt;6, YEAR(A11)+1, YEAR(A11))</f>
        <v>2017</v>
      </c>
      <c r="C11" s="68">
        <f>(A11-DATE(B11-1,6,30))/(DATE(B11,6,30)-DATE(B11-1, 6, 30))</f>
        <v>1</v>
      </c>
      <c r="D11" s="34">
        <f>INDEX('SB 84'!$B$56:$G$56,1,$B11-2016)</f>
        <v>8647.8000000000011</v>
      </c>
      <c r="E11" s="34">
        <f>INDEX('SB 84'!$B$54:$G$54,1,$B11-2016)+INDEX('SB 84'!$B$57:$G$57,1,$B11-2016)+INDEX('SB 84'!$B$58:$G$58,1,$B11-2016)</f>
        <v>-2476.0074000000004</v>
      </c>
      <c r="F11" s="66">
        <f>MAX(0,D11+E11*$C11)</f>
        <v>6171.7926000000007</v>
      </c>
      <c r="G11" s="13">
        <f>INDEX('PF Model'!$F$217:$K$217,1,$B11-2016)</f>
        <v>9266</v>
      </c>
      <c r="H11" s="13">
        <f>INDEX('PF Model'!$G$216:$L$216,1,$B11-2016)</f>
        <v>2404.4690515033049</v>
      </c>
      <c r="I11" s="66">
        <f>MAX(0,G11+H11*$C11)</f>
        <v>11670.469051503305</v>
      </c>
    </row>
    <row r="12" spans="1:9">
      <c r="A12" s="63">
        <v>42931</v>
      </c>
      <c r="B12" s="149">
        <f t="shared" ref="B12:B72" si="0">IF(MONTH(A12)&gt;6, YEAR(A12)+1, YEAR(A12))</f>
        <v>2018</v>
      </c>
      <c r="C12" s="68">
        <f t="shared" ref="C12:C72" si="1">(A12-DATE(B12-1,6,30))/(DATE(B12,6,30)-DATE(B12-1, 6, 30))</f>
        <v>4.1095890410958902E-2</v>
      </c>
      <c r="D12" s="34">
        <f>INDEX('SB 84'!$B$56:$G$56,1,$B12-2016)</f>
        <v>6171.7926000000007</v>
      </c>
      <c r="E12" s="34">
        <f>INDEX('SB 84'!$B$54:$G$54,1,$B12-2016)+INDEX('SB 84'!$B$57:$G$57,1,$B12-2016)+INDEX('SB 84'!$B$58:$G$58,1,$B12-2016)</f>
        <v>-1811.1504709093672</v>
      </c>
      <c r="F12" s="66">
        <f t="shared" ref="F12:F72" si="2">MAX(0,D12+E12*$C12)</f>
        <v>6097.3617587297531</v>
      </c>
      <c r="G12" s="13">
        <f>INDEX('PF Model'!$F$217:$K$217,1,$B12-2016)</f>
        <v>11670.469051503305</v>
      </c>
      <c r="H12" s="13">
        <f>INDEX('PF Model'!$G$216:$L$216,1,$B12-2016)</f>
        <v>-405.91301193457696</v>
      </c>
      <c r="I12" s="66">
        <f t="shared" ref="I12:I72" si="3">MAX(0,G12+H12*$C12)</f>
        <v>11653.787694848459</v>
      </c>
    </row>
    <row r="13" spans="1:9">
      <c r="A13" s="63">
        <v>42962</v>
      </c>
      <c r="B13" s="149">
        <f t="shared" si="0"/>
        <v>2018</v>
      </c>
      <c r="C13" s="68">
        <f t="shared" si="1"/>
        <v>0.12602739726027398</v>
      </c>
      <c r="D13" s="34">
        <f>INDEX('SB 84'!$B$56:$G$56,1,$B13-2016)</f>
        <v>6171.7926000000007</v>
      </c>
      <c r="E13" s="34">
        <f>INDEX('SB 84'!$B$54:$G$54,1,$B13-2016)+INDEX('SB 84'!$B$57:$G$57,1,$B13-2016)+INDEX('SB 84'!$B$58:$G$58,1,$B13-2016)</f>
        <v>-1811.1504709093672</v>
      </c>
      <c r="F13" s="66">
        <f t="shared" si="2"/>
        <v>5943.5380201045737</v>
      </c>
      <c r="G13" s="13">
        <f>INDEX('PF Model'!$F$217:$K$217,1,$B13-2016)</f>
        <v>11670.469051503305</v>
      </c>
      <c r="H13" s="13">
        <f>INDEX('PF Model'!$G$216:$L$216,1,$B13-2016)</f>
        <v>-405.91301193457696</v>
      </c>
      <c r="I13" s="66">
        <f t="shared" si="3"/>
        <v>11619.312891095113</v>
      </c>
    </row>
    <row r="14" spans="1:9">
      <c r="A14" s="63">
        <v>42993</v>
      </c>
      <c r="B14" s="149">
        <f t="shared" si="0"/>
        <v>2018</v>
      </c>
      <c r="C14" s="68">
        <f t="shared" si="1"/>
        <v>0.21095890410958903</v>
      </c>
      <c r="D14" s="34">
        <f>INDEX('SB 84'!$B$56:$G$56,1,$B14-2016)</f>
        <v>6171.7926000000007</v>
      </c>
      <c r="E14" s="34">
        <f>INDEX('SB 84'!$B$54:$G$54,1,$B14-2016)+INDEX('SB 84'!$B$57:$G$57,1,$B14-2016)+INDEX('SB 84'!$B$58:$G$58,1,$B14-2016)</f>
        <v>-1811.1504709093672</v>
      </c>
      <c r="F14" s="66">
        <f t="shared" si="2"/>
        <v>5789.7142814793942</v>
      </c>
      <c r="G14" s="13">
        <f>INDEX('PF Model'!$F$217:$K$217,1,$B14-2016)</f>
        <v>11670.469051503305</v>
      </c>
      <c r="H14" s="13">
        <f>INDEX('PF Model'!$G$216:$L$216,1,$B14-2016)</f>
        <v>-405.91301193457696</v>
      </c>
      <c r="I14" s="66">
        <f t="shared" si="3"/>
        <v>11584.838087341765</v>
      </c>
    </row>
    <row r="15" spans="1:9">
      <c r="A15" s="63">
        <v>43023</v>
      </c>
      <c r="B15" s="149">
        <f t="shared" si="0"/>
        <v>2018</v>
      </c>
      <c r="C15" s="68">
        <f t="shared" si="1"/>
        <v>0.29315068493150687</v>
      </c>
      <c r="D15" s="34">
        <f>INDEX('SB 84'!$B$56:$G$56,1,$B15-2016)</f>
        <v>6171.7926000000007</v>
      </c>
      <c r="E15" s="34">
        <f>INDEX('SB 84'!$B$54:$G$54,1,$B15-2016)+INDEX('SB 84'!$B$57:$G$57,1,$B15-2016)+INDEX('SB 84'!$B$58:$G$58,1,$B15-2016)</f>
        <v>-1811.1504709093672</v>
      </c>
      <c r="F15" s="66">
        <f t="shared" si="2"/>
        <v>5640.8525989388982</v>
      </c>
      <c r="G15" s="13">
        <f>INDEX('PF Model'!$F$217:$K$217,1,$B15-2016)</f>
        <v>11670.469051503305</v>
      </c>
      <c r="H15" s="13">
        <f>INDEX('PF Model'!$G$216:$L$216,1,$B15-2016)</f>
        <v>-405.91301193457696</v>
      </c>
      <c r="I15" s="66">
        <f t="shared" si="3"/>
        <v>11551.475374032074</v>
      </c>
    </row>
    <row r="16" spans="1:9">
      <c r="A16" s="63">
        <v>43054</v>
      </c>
      <c r="B16" s="149">
        <f t="shared" si="0"/>
        <v>2018</v>
      </c>
      <c r="C16" s="68">
        <f t="shared" si="1"/>
        <v>0.37808219178082192</v>
      </c>
      <c r="D16" s="34">
        <f>INDEX('SB 84'!$B$56:$G$56,1,$B16-2016)</f>
        <v>6171.7926000000007</v>
      </c>
      <c r="E16" s="34">
        <f>INDEX('SB 84'!$B$54:$G$54,1,$B16-2016)+INDEX('SB 84'!$B$57:$G$57,1,$B16-2016)+INDEX('SB 84'!$B$58:$G$58,1,$B16-2016)</f>
        <v>-1811.1504709093672</v>
      </c>
      <c r="F16" s="66">
        <f t="shared" si="2"/>
        <v>5487.0288603137196</v>
      </c>
      <c r="G16" s="13">
        <f>INDEX('PF Model'!$F$217:$K$217,1,$B16-2016)</f>
        <v>11670.469051503305</v>
      </c>
      <c r="H16" s="13">
        <f>INDEX('PF Model'!$G$216:$L$216,1,$B16-2016)</f>
        <v>-405.91301193457696</v>
      </c>
      <c r="I16" s="66">
        <f t="shared" si="3"/>
        <v>11517.000570278726</v>
      </c>
    </row>
    <row r="17" spans="1:9">
      <c r="A17" s="63">
        <v>43084</v>
      </c>
      <c r="B17" s="149">
        <f t="shared" si="0"/>
        <v>2018</v>
      </c>
      <c r="C17" s="68">
        <f t="shared" si="1"/>
        <v>0.46027397260273972</v>
      </c>
      <c r="D17" s="34">
        <f>INDEX('SB 84'!$B$56:$G$56,1,$B17-2016)</f>
        <v>6171.7926000000007</v>
      </c>
      <c r="E17" s="34">
        <f>INDEX('SB 84'!$B$54:$G$54,1,$B17-2016)+INDEX('SB 84'!$B$57:$G$57,1,$B17-2016)+INDEX('SB 84'!$B$58:$G$58,1,$B17-2016)</f>
        <v>-1811.1504709093672</v>
      </c>
      <c r="F17" s="66">
        <f t="shared" si="2"/>
        <v>5338.1671777732236</v>
      </c>
      <c r="G17" s="13">
        <f>INDEX('PF Model'!$F$217:$K$217,1,$B17-2016)</f>
        <v>11670.469051503305</v>
      </c>
      <c r="H17" s="13">
        <f>INDEX('PF Model'!$G$216:$L$216,1,$B17-2016)</f>
        <v>-405.91301193457696</v>
      </c>
      <c r="I17" s="66">
        <f t="shared" si="3"/>
        <v>11483.637856969035</v>
      </c>
    </row>
    <row r="18" spans="1:9">
      <c r="A18" s="63">
        <v>43115</v>
      </c>
      <c r="B18" s="149">
        <f t="shared" si="0"/>
        <v>2018</v>
      </c>
      <c r="C18" s="68">
        <f t="shared" si="1"/>
        <v>0.54520547945205478</v>
      </c>
      <c r="D18" s="34">
        <f>INDEX('SB 84'!$B$56:$G$56,1,$B18-2016)</f>
        <v>6171.7926000000007</v>
      </c>
      <c r="E18" s="34">
        <f>INDEX('SB 84'!$B$54:$G$54,1,$B18-2016)+INDEX('SB 84'!$B$57:$G$57,1,$B18-2016)+INDEX('SB 84'!$B$58:$G$58,1,$B18-2016)</f>
        <v>-1811.1504709093672</v>
      </c>
      <c r="F18" s="66">
        <f t="shared" si="2"/>
        <v>5184.3434391480441</v>
      </c>
      <c r="G18" s="13">
        <f>INDEX('PF Model'!$F$217:$K$217,1,$B18-2016)</f>
        <v>11670.469051503305</v>
      </c>
      <c r="H18" s="13">
        <f>INDEX('PF Model'!$G$216:$L$216,1,$B18-2016)</f>
        <v>-405.91301193457696</v>
      </c>
      <c r="I18" s="66">
        <f t="shared" si="3"/>
        <v>11449.163053215687</v>
      </c>
    </row>
    <row r="19" spans="1:9">
      <c r="A19" s="63">
        <v>43146</v>
      </c>
      <c r="B19" s="149">
        <f t="shared" si="0"/>
        <v>2018</v>
      </c>
      <c r="C19" s="68">
        <f t="shared" si="1"/>
        <v>0.63013698630136983</v>
      </c>
      <c r="D19" s="34">
        <f>INDEX('SB 84'!$B$56:$G$56,1,$B19-2016)</f>
        <v>6171.7926000000007</v>
      </c>
      <c r="E19" s="34">
        <f>INDEX('SB 84'!$B$54:$G$54,1,$B19-2016)+INDEX('SB 84'!$B$57:$G$57,1,$B19-2016)+INDEX('SB 84'!$B$58:$G$58,1,$B19-2016)</f>
        <v>-1811.1504709093672</v>
      </c>
      <c r="F19" s="66">
        <f t="shared" si="2"/>
        <v>5030.5197005228656</v>
      </c>
      <c r="G19" s="13">
        <f>INDEX('PF Model'!$F$217:$K$217,1,$B19-2016)</f>
        <v>11670.469051503305</v>
      </c>
      <c r="H19" s="13">
        <f>INDEX('PF Model'!$G$216:$L$216,1,$B19-2016)</f>
        <v>-405.91301193457696</v>
      </c>
      <c r="I19" s="66">
        <f t="shared" si="3"/>
        <v>11414.688249462339</v>
      </c>
    </row>
    <row r="20" spans="1:9">
      <c r="A20" s="63">
        <v>43174</v>
      </c>
      <c r="B20" s="149">
        <f t="shared" si="0"/>
        <v>2018</v>
      </c>
      <c r="C20" s="68">
        <f t="shared" si="1"/>
        <v>0.70684931506849313</v>
      </c>
      <c r="D20" s="34">
        <f>INDEX('SB 84'!$B$56:$G$56,1,$B20-2016)</f>
        <v>6171.7926000000007</v>
      </c>
      <c r="E20" s="34">
        <f>INDEX('SB 84'!$B$54:$G$54,1,$B20-2016)+INDEX('SB 84'!$B$57:$G$57,1,$B20-2016)+INDEX('SB 84'!$B$58:$G$58,1,$B20-2016)</f>
        <v>-1811.1504709093672</v>
      </c>
      <c r="F20" s="66">
        <f t="shared" si="2"/>
        <v>4891.5821301517353</v>
      </c>
      <c r="G20" s="13">
        <f>INDEX('PF Model'!$F$217:$K$217,1,$B20-2016)</f>
        <v>11670.469051503305</v>
      </c>
      <c r="H20" s="13">
        <f>INDEX('PF Model'!$G$216:$L$216,1,$B20-2016)</f>
        <v>-405.91301193457696</v>
      </c>
      <c r="I20" s="66">
        <f t="shared" si="3"/>
        <v>11383.549717039961</v>
      </c>
    </row>
    <row r="21" spans="1:9">
      <c r="A21" s="63">
        <v>43205</v>
      </c>
      <c r="B21" s="149">
        <f t="shared" si="0"/>
        <v>2018</v>
      </c>
      <c r="C21" s="68">
        <f t="shared" si="1"/>
        <v>0.79178082191780819</v>
      </c>
      <c r="D21" s="34">
        <f>INDEX('SB 84'!$B$56:$G$56,1,$B21-2016)</f>
        <v>6171.7926000000007</v>
      </c>
      <c r="E21" s="34">
        <f>INDEX('SB 84'!$B$54:$G$54,1,$B21-2016)+INDEX('SB 84'!$B$57:$G$57,1,$B21-2016)+INDEX('SB 84'!$B$58:$G$58,1,$B21-2016)</f>
        <v>-1811.1504709093672</v>
      </c>
      <c r="F21" s="66">
        <f t="shared" si="2"/>
        <v>4737.7583915265568</v>
      </c>
      <c r="G21" s="13">
        <f>INDEX('PF Model'!$F$217:$K$217,1,$B21-2016)</f>
        <v>11670.469051503305</v>
      </c>
      <c r="H21" s="13">
        <f>INDEX('PF Model'!$G$216:$L$216,1,$B21-2016)</f>
        <v>-405.91301193457696</v>
      </c>
      <c r="I21" s="66">
        <f t="shared" si="3"/>
        <v>11349.074913286613</v>
      </c>
    </row>
    <row r="22" spans="1:9">
      <c r="A22" s="63">
        <v>43235</v>
      </c>
      <c r="B22" s="149">
        <f t="shared" si="0"/>
        <v>2018</v>
      </c>
      <c r="C22" s="68">
        <f t="shared" si="1"/>
        <v>0.87397260273972599</v>
      </c>
      <c r="D22" s="34">
        <f>INDEX('SB 84'!$B$56:$G$56,1,$B22-2016)</f>
        <v>6171.7926000000007</v>
      </c>
      <c r="E22" s="34">
        <f>INDEX('SB 84'!$B$54:$G$54,1,$B22-2016)+INDEX('SB 84'!$B$57:$G$57,1,$B22-2016)+INDEX('SB 84'!$B$58:$G$58,1,$B22-2016)</f>
        <v>-1811.1504709093672</v>
      </c>
      <c r="F22" s="66">
        <f t="shared" si="2"/>
        <v>4588.8967089860607</v>
      </c>
      <c r="G22" s="13">
        <f>INDEX('PF Model'!$F$217:$K$217,1,$B22-2016)</f>
        <v>11670.469051503305</v>
      </c>
      <c r="H22" s="13">
        <f>INDEX('PF Model'!$G$216:$L$216,1,$B22-2016)</f>
        <v>-405.91301193457696</v>
      </c>
      <c r="I22" s="66">
        <f t="shared" si="3"/>
        <v>11315.712199976922</v>
      </c>
    </row>
    <row r="23" spans="1:9">
      <c r="A23" s="63">
        <v>43266</v>
      </c>
      <c r="B23" s="149">
        <f t="shared" si="0"/>
        <v>2018</v>
      </c>
      <c r="C23" s="68">
        <f t="shared" si="1"/>
        <v>0.95890410958904104</v>
      </c>
      <c r="D23" s="34">
        <f>INDEX('SB 84'!$B$56:$G$56,1,$B23-2016)</f>
        <v>6171.7926000000007</v>
      </c>
      <c r="E23" s="34">
        <f>INDEX('SB 84'!$B$54:$G$54,1,$B23-2016)+INDEX('SB 84'!$B$57:$G$57,1,$B23-2016)+INDEX('SB 84'!$B$58:$G$58,1,$B23-2016)</f>
        <v>-1811.1504709093672</v>
      </c>
      <c r="F23" s="66">
        <f t="shared" si="2"/>
        <v>4435.0729703608813</v>
      </c>
      <c r="G23" s="13">
        <f>INDEX('PF Model'!$F$217:$K$217,1,$B23-2016)</f>
        <v>11670.469051503305</v>
      </c>
      <c r="H23" s="13">
        <f>INDEX('PF Model'!$G$216:$L$216,1,$B23-2016)</f>
        <v>-405.91301193457696</v>
      </c>
      <c r="I23" s="66">
        <f t="shared" si="3"/>
        <v>11281.237396223574</v>
      </c>
    </row>
    <row r="24" spans="1:9">
      <c r="A24" s="63">
        <v>43296</v>
      </c>
      <c r="B24" s="149">
        <f t="shared" si="0"/>
        <v>2019</v>
      </c>
      <c r="C24" s="68">
        <f t="shared" si="1"/>
        <v>4.1095890410958902E-2</v>
      </c>
      <c r="D24" s="34">
        <f>INDEX('SB 84'!$B$56:$G$56,1,$B24-2016)</f>
        <v>4360.6421290906337</v>
      </c>
      <c r="E24" s="34">
        <f>INDEX('SB 84'!$B$54:$G$54,1,$B24-2016)+INDEX('SB 84'!$B$57:$G$57,1,$B24-2016)+INDEX('SB 84'!$B$58:$G$58,1,$B24-2016)</f>
        <v>-872.94458417259625</v>
      </c>
      <c r="F24" s="66">
        <f t="shared" si="2"/>
        <v>4324.7676941246364</v>
      </c>
      <c r="G24" s="13">
        <f>INDEX('PF Model'!$F$217:$K$217,1,$B24-2016)</f>
        <v>11264.556039568728</v>
      </c>
      <c r="H24" s="13">
        <f>INDEX('PF Model'!$G$216:$L$216,1,$B24-2016)</f>
        <v>-428.013626613121</v>
      </c>
      <c r="I24" s="66">
        <f t="shared" si="3"/>
        <v>11246.966438475038</v>
      </c>
    </row>
    <row r="25" spans="1:9">
      <c r="A25" s="63">
        <v>43327</v>
      </c>
      <c r="B25" s="149">
        <f t="shared" si="0"/>
        <v>2019</v>
      </c>
      <c r="C25" s="68">
        <f t="shared" si="1"/>
        <v>0.12602739726027398</v>
      </c>
      <c r="D25" s="34">
        <f>INDEX('SB 84'!$B$56:$G$56,1,$B25-2016)</f>
        <v>4360.6421290906337</v>
      </c>
      <c r="E25" s="34">
        <f>INDEX('SB 84'!$B$54:$G$54,1,$B25-2016)+INDEX('SB 84'!$B$57:$G$57,1,$B25-2016)+INDEX('SB 84'!$B$58:$G$58,1,$B25-2016)</f>
        <v>-872.94458417259625</v>
      </c>
      <c r="F25" s="66">
        <f t="shared" si="2"/>
        <v>4250.6271951949093</v>
      </c>
      <c r="G25" s="13">
        <f>INDEX('PF Model'!$F$217:$K$217,1,$B25-2016)</f>
        <v>11264.556039568728</v>
      </c>
      <c r="H25" s="13">
        <f>INDEX('PF Model'!$G$216:$L$216,1,$B25-2016)</f>
        <v>-428.013626613121</v>
      </c>
      <c r="I25" s="66">
        <f t="shared" si="3"/>
        <v>11210.614596214746</v>
      </c>
    </row>
    <row r="26" spans="1:9">
      <c r="A26" s="63">
        <v>43358</v>
      </c>
      <c r="B26" s="149">
        <f t="shared" si="0"/>
        <v>2019</v>
      </c>
      <c r="C26" s="68">
        <f t="shared" si="1"/>
        <v>0.21095890410958903</v>
      </c>
      <c r="D26" s="34">
        <f>INDEX('SB 84'!$B$56:$G$56,1,$B26-2016)</f>
        <v>4360.6421290906337</v>
      </c>
      <c r="E26" s="34">
        <f>INDEX('SB 84'!$B$54:$G$54,1,$B26-2016)+INDEX('SB 84'!$B$57:$G$57,1,$B26-2016)+INDEX('SB 84'!$B$58:$G$58,1,$B26-2016)</f>
        <v>-872.94458417259625</v>
      </c>
      <c r="F26" s="66">
        <f t="shared" si="2"/>
        <v>4176.4866962651822</v>
      </c>
      <c r="G26" s="13">
        <f>INDEX('PF Model'!$F$217:$K$217,1,$B26-2016)</f>
        <v>11264.556039568728</v>
      </c>
      <c r="H26" s="13">
        <f>INDEX('PF Model'!$G$216:$L$216,1,$B26-2016)</f>
        <v>-428.013626613121</v>
      </c>
      <c r="I26" s="66">
        <f t="shared" si="3"/>
        <v>11174.262753954454</v>
      </c>
    </row>
    <row r="27" spans="1:9">
      <c r="A27" s="63">
        <v>43388</v>
      </c>
      <c r="B27" s="149">
        <f t="shared" si="0"/>
        <v>2019</v>
      </c>
      <c r="C27" s="68">
        <f t="shared" si="1"/>
        <v>0.29315068493150687</v>
      </c>
      <c r="D27" s="34">
        <f>INDEX('SB 84'!$B$56:$G$56,1,$B27-2016)</f>
        <v>4360.6421290906337</v>
      </c>
      <c r="E27" s="34">
        <f>INDEX('SB 84'!$B$54:$G$54,1,$B27-2016)+INDEX('SB 84'!$B$57:$G$57,1,$B27-2016)+INDEX('SB 84'!$B$58:$G$58,1,$B27-2016)</f>
        <v>-872.94458417259625</v>
      </c>
      <c r="F27" s="66">
        <f t="shared" si="2"/>
        <v>4104.7378263331875</v>
      </c>
      <c r="G27" s="13">
        <f>INDEX('PF Model'!$F$217:$K$217,1,$B27-2016)</f>
        <v>11264.556039568728</v>
      </c>
      <c r="H27" s="13">
        <f>INDEX('PF Model'!$G$216:$L$216,1,$B27-2016)</f>
        <v>-428.013626613121</v>
      </c>
      <c r="I27" s="66">
        <f t="shared" si="3"/>
        <v>11139.083551767073</v>
      </c>
    </row>
    <row r="28" spans="1:9">
      <c r="A28" s="63">
        <v>43419</v>
      </c>
      <c r="B28" s="149">
        <f t="shared" si="0"/>
        <v>2019</v>
      </c>
      <c r="C28" s="68">
        <f t="shared" si="1"/>
        <v>0.37808219178082192</v>
      </c>
      <c r="D28" s="34">
        <f>INDEX('SB 84'!$B$56:$G$56,1,$B28-2016)</f>
        <v>4360.6421290906337</v>
      </c>
      <c r="E28" s="34">
        <f>INDEX('SB 84'!$B$54:$G$54,1,$B28-2016)+INDEX('SB 84'!$B$57:$G$57,1,$B28-2016)+INDEX('SB 84'!$B$58:$G$58,1,$B28-2016)</f>
        <v>-872.94458417259625</v>
      </c>
      <c r="F28" s="66">
        <f t="shared" si="2"/>
        <v>4030.5973274034604</v>
      </c>
      <c r="G28" s="13">
        <f>INDEX('PF Model'!$F$217:$K$217,1,$B28-2016)</f>
        <v>11264.556039568728</v>
      </c>
      <c r="H28" s="13">
        <f>INDEX('PF Model'!$G$216:$L$216,1,$B28-2016)</f>
        <v>-428.013626613121</v>
      </c>
      <c r="I28" s="66">
        <f t="shared" si="3"/>
        <v>11102.731709506781</v>
      </c>
    </row>
    <row r="29" spans="1:9">
      <c r="A29" s="63">
        <v>43449</v>
      </c>
      <c r="B29" s="149">
        <f t="shared" si="0"/>
        <v>2019</v>
      </c>
      <c r="C29" s="68">
        <f t="shared" si="1"/>
        <v>0.46027397260273972</v>
      </c>
      <c r="D29" s="34">
        <f>INDEX('SB 84'!$B$56:$G$56,1,$B29-2016)</f>
        <v>4360.6421290906337</v>
      </c>
      <c r="E29" s="34">
        <f>INDEX('SB 84'!$B$54:$G$54,1,$B29-2016)+INDEX('SB 84'!$B$57:$G$57,1,$B29-2016)+INDEX('SB 84'!$B$58:$G$58,1,$B29-2016)</f>
        <v>-872.94458417259625</v>
      </c>
      <c r="F29" s="66">
        <f t="shared" si="2"/>
        <v>3958.8484574714662</v>
      </c>
      <c r="G29" s="13">
        <f>INDEX('PF Model'!$F$217:$K$217,1,$B29-2016)</f>
        <v>11264.556039568728</v>
      </c>
      <c r="H29" s="13">
        <f>INDEX('PF Model'!$G$216:$L$216,1,$B29-2016)</f>
        <v>-428.013626613121</v>
      </c>
      <c r="I29" s="66">
        <f t="shared" si="3"/>
        <v>11067.5525073194</v>
      </c>
    </row>
    <row r="30" spans="1:9">
      <c r="A30" s="63">
        <v>43480</v>
      </c>
      <c r="B30" s="149">
        <f t="shared" si="0"/>
        <v>2019</v>
      </c>
      <c r="C30" s="68">
        <f t="shared" si="1"/>
        <v>0.54520547945205478</v>
      </c>
      <c r="D30" s="34">
        <f>INDEX('SB 84'!$B$56:$G$56,1,$B30-2016)</f>
        <v>4360.6421290906337</v>
      </c>
      <c r="E30" s="34">
        <f>INDEX('SB 84'!$B$54:$G$54,1,$B30-2016)+INDEX('SB 84'!$B$57:$G$57,1,$B30-2016)+INDEX('SB 84'!$B$58:$G$58,1,$B30-2016)</f>
        <v>-872.94458417259625</v>
      </c>
      <c r="F30" s="66">
        <f t="shared" si="2"/>
        <v>3884.7079585417387</v>
      </c>
      <c r="G30" s="13">
        <f>INDEX('PF Model'!$F$217:$K$217,1,$B30-2016)</f>
        <v>11264.556039568728</v>
      </c>
      <c r="H30" s="13">
        <f>INDEX('PF Model'!$G$216:$L$216,1,$B30-2016)</f>
        <v>-428.013626613121</v>
      </c>
      <c r="I30" s="66">
        <f t="shared" si="3"/>
        <v>11031.200665059108</v>
      </c>
    </row>
    <row r="31" spans="1:9">
      <c r="A31" s="63">
        <v>43511</v>
      </c>
      <c r="B31" s="149">
        <f t="shared" si="0"/>
        <v>2019</v>
      </c>
      <c r="C31" s="68">
        <f t="shared" si="1"/>
        <v>0.63013698630136983</v>
      </c>
      <c r="D31" s="34">
        <f>INDEX('SB 84'!$B$56:$G$56,1,$B31-2016)</f>
        <v>4360.6421290906337</v>
      </c>
      <c r="E31" s="34">
        <f>INDEX('SB 84'!$B$54:$G$54,1,$B31-2016)+INDEX('SB 84'!$B$57:$G$57,1,$B31-2016)+INDEX('SB 84'!$B$58:$G$58,1,$B31-2016)</f>
        <v>-872.94458417259625</v>
      </c>
      <c r="F31" s="66">
        <f t="shared" si="2"/>
        <v>3810.5674596120116</v>
      </c>
      <c r="G31" s="13">
        <f>INDEX('PF Model'!$F$217:$K$217,1,$B31-2016)</f>
        <v>11264.556039568728</v>
      </c>
      <c r="H31" s="13">
        <f>INDEX('PF Model'!$G$216:$L$216,1,$B31-2016)</f>
        <v>-428.013626613121</v>
      </c>
      <c r="I31" s="66">
        <f t="shared" si="3"/>
        <v>10994.848822798816</v>
      </c>
    </row>
    <row r="32" spans="1:9">
      <c r="A32" s="63">
        <v>43539</v>
      </c>
      <c r="B32" s="149">
        <f t="shared" si="0"/>
        <v>2019</v>
      </c>
      <c r="C32" s="68">
        <f t="shared" si="1"/>
        <v>0.70684931506849313</v>
      </c>
      <c r="D32" s="34">
        <f>INDEX('SB 84'!$B$56:$G$56,1,$B32-2016)</f>
        <v>4360.6421290906337</v>
      </c>
      <c r="E32" s="34">
        <f>INDEX('SB 84'!$B$54:$G$54,1,$B32-2016)+INDEX('SB 84'!$B$57:$G$57,1,$B32-2016)+INDEX('SB 84'!$B$58:$G$58,1,$B32-2016)</f>
        <v>-872.94458417259625</v>
      </c>
      <c r="F32" s="66">
        <f t="shared" si="2"/>
        <v>3743.6018476754834</v>
      </c>
      <c r="G32" s="13">
        <f>INDEX('PF Model'!$F$217:$K$217,1,$B32-2016)</f>
        <v>11264.556039568728</v>
      </c>
      <c r="H32" s="13">
        <f>INDEX('PF Model'!$G$216:$L$216,1,$B32-2016)</f>
        <v>-428.013626613121</v>
      </c>
      <c r="I32" s="66">
        <f t="shared" si="3"/>
        <v>10962.014900757262</v>
      </c>
    </row>
    <row r="33" spans="1:9">
      <c r="A33" s="63">
        <v>43570</v>
      </c>
      <c r="B33" s="149">
        <f t="shared" si="0"/>
        <v>2019</v>
      </c>
      <c r="C33" s="68">
        <f t="shared" si="1"/>
        <v>0.79178082191780819</v>
      </c>
      <c r="D33" s="34">
        <f>INDEX('SB 84'!$B$56:$G$56,1,$B33-2016)</f>
        <v>4360.6421290906337</v>
      </c>
      <c r="E33" s="34">
        <f>INDEX('SB 84'!$B$54:$G$54,1,$B33-2016)+INDEX('SB 84'!$B$57:$G$57,1,$B33-2016)+INDEX('SB 84'!$B$58:$G$58,1,$B33-2016)</f>
        <v>-872.94458417259625</v>
      </c>
      <c r="F33" s="66">
        <f t="shared" si="2"/>
        <v>3669.4613487457564</v>
      </c>
      <c r="G33" s="13">
        <f>INDEX('PF Model'!$F$217:$K$217,1,$B33-2016)</f>
        <v>11264.556039568728</v>
      </c>
      <c r="H33" s="13">
        <f>INDEX('PF Model'!$G$216:$L$216,1,$B33-2016)</f>
        <v>-428.013626613121</v>
      </c>
      <c r="I33" s="66">
        <f t="shared" si="3"/>
        <v>10925.66305849697</v>
      </c>
    </row>
    <row r="34" spans="1:9">
      <c r="A34" s="63">
        <v>43600</v>
      </c>
      <c r="B34" s="149">
        <f t="shared" si="0"/>
        <v>2019</v>
      </c>
      <c r="C34" s="68">
        <f t="shared" si="1"/>
        <v>0.87397260273972599</v>
      </c>
      <c r="D34" s="34">
        <f>INDEX('SB 84'!$B$56:$G$56,1,$B34-2016)</f>
        <v>4360.6421290906337</v>
      </c>
      <c r="E34" s="34">
        <f>INDEX('SB 84'!$B$54:$G$54,1,$B34-2016)+INDEX('SB 84'!$B$57:$G$57,1,$B34-2016)+INDEX('SB 84'!$B$58:$G$58,1,$B34-2016)</f>
        <v>-872.94458417259625</v>
      </c>
      <c r="F34" s="66">
        <f t="shared" si="2"/>
        <v>3597.7124788137621</v>
      </c>
      <c r="G34" s="13">
        <f>INDEX('PF Model'!$F$217:$K$217,1,$B34-2016)</f>
        <v>11264.556039568728</v>
      </c>
      <c r="H34" s="13">
        <f>INDEX('PF Model'!$G$216:$L$216,1,$B34-2016)</f>
        <v>-428.013626613121</v>
      </c>
      <c r="I34" s="66">
        <f t="shared" si="3"/>
        <v>10890.483856309589</v>
      </c>
    </row>
    <row r="35" spans="1:9">
      <c r="A35" s="63">
        <v>43631</v>
      </c>
      <c r="B35" s="149">
        <f t="shared" si="0"/>
        <v>2019</v>
      </c>
      <c r="C35" s="68">
        <f t="shared" si="1"/>
        <v>0.95890410958904104</v>
      </c>
      <c r="D35" s="34">
        <f>INDEX('SB 84'!$B$56:$G$56,1,$B35-2016)</f>
        <v>4360.6421290906337</v>
      </c>
      <c r="E35" s="34">
        <f>INDEX('SB 84'!$B$54:$G$54,1,$B35-2016)+INDEX('SB 84'!$B$57:$G$57,1,$B35-2016)+INDEX('SB 84'!$B$58:$G$58,1,$B35-2016)</f>
        <v>-872.94458417259625</v>
      </c>
      <c r="F35" s="66">
        <f t="shared" si="2"/>
        <v>3523.5719798840346</v>
      </c>
      <c r="G35" s="13">
        <f>INDEX('PF Model'!$F$217:$K$217,1,$B35-2016)</f>
        <v>11264.556039568728</v>
      </c>
      <c r="H35" s="13">
        <f>INDEX('PF Model'!$G$216:$L$216,1,$B35-2016)</f>
        <v>-428.013626613121</v>
      </c>
      <c r="I35" s="66">
        <f t="shared" si="3"/>
        <v>10854.132014049297</v>
      </c>
    </row>
    <row r="36" spans="1:9">
      <c r="A36" s="63">
        <v>43661</v>
      </c>
      <c r="B36" s="149">
        <f t="shared" si="0"/>
        <v>2020</v>
      </c>
      <c r="C36" s="68">
        <f t="shared" si="1"/>
        <v>4.0983606557377046E-2</v>
      </c>
      <c r="D36" s="34">
        <f>INDEX('SB 84'!$B$56:$G$56,1,$B36-2016)</f>
        <v>3487.6975449180372</v>
      </c>
      <c r="E36" s="34">
        <f>INDEX('SB 84'!$B$54:$G$54,1,$B36-2016)+INDEX('SB 84'!$B$57:$G$57,1,$B36-2016)+INDEX('SB 84'!$B$58:$G$58,1,$B36-2016)</f>
        <v>-841.33441428342655</v>
      </c>
      <c r="F36" s="66">
        <f t="shared" si="2"/>
        <v>3453.2166262998639</v>
      </c>
      <c r="G36" s="13">
        <f>INDEX('PF Model'!$F$217:$K$217,1,$B36-2016)</f>
        <v>10836.542412955607</v>
      </c>
      <c r="H36" s="13">
        <f>INDEX('PF Model'!$G$216:$L$216,1,$B36-2016)</f>
        <v>-301.93082871612455</v>
      </c>
      <c r="I36" s="66">
        <f t="shared" si="3"/>
        <v>10824.168198663961</v>
      </c>
    </row>
    <row r="37" spans="1:9">
      <c r="A37" s="63">
        <v>43692</v>
      </c>
      <c r="B37" s="149">
        <f t="shared" si="0"/>
        <v>2020</v>
      </c>
      <c r="C37" s="68">
        <f t="shared" si="1"/>
        <v>0.12568306010928962</v>
      </c>
      <c r="D37" s="34">
        <f>INDEX('SB 84'!$B$56:$G$56,1,$B37-2016)</f>
        <v>3487.6975449180372</v>
      </c>
      <c r="E37" s="34">
        <f>INDEX('SB 84'!$B$54:$G$54,1,$B37-2016)+INDEX('SB 84'!$B$57:$G$57,1,$B37-2016)+INDEX('SB 84'!$B$58:$G$58,1,$B37-2016)</f>
        <v>-841.33441428342655</v>
      </c>
      <c r="F37" s="66">
        <f t="shared" si="2"/>
        <v>3381.9560611556394</v>
      </c>
      <c r="G37" s="13">
        <f>INDEX('PF Model'!$F$217:$K$217,1,$B37-2016)</f>
        <v>10836.542412955607</v>
      </c>
      <c r="H37" s="13">
        <f>INDEX('PF Model'!$G$216:$L$216,1,$B37-2016)</f>
        <v>-301.93082871612455</v>
      </c>
      <c r="I37" s="66">
        <f t="shared" si="3"/>
        <v>10798.594822461231</v>
      </c>
    </row>
    <row r="38" spans="1:9">
      <c r="A38" s="63">
        <v>43723</v>
      </c>
      <c r="B38" s="149">
        <f t="shared" si="0"/>
        <v>2020</v>
      </c>
      <c r="C38" s="68">
        <f t="shared" si="1"/>
        <v>0.2103825136612022</v>
      </c>
      <c r="D38" s="34">
        <f>INDEX('SB 84'!$B$56:$G$56,1,$B38-2016)</f>
        <v>3487.6975449180372</v>
      </c>
      <c r="E38" s="34">
        <f>INDEX('SB 84'!$B$54:$G$54,1,$B38-2016)+INDEX('SB 84'!$B$57:$G$57,1,$B38-2016)+INDEX('SB 84'!$B$58:$G$58,1,$B38-2016)</f>
        <v>-841.33441428342655</v>
      </c>
      <c r="F38" s="66">
        <f t="shared" si="2"/>
        <v>3310.6954960114149</v>
      </c>
      <c r="G38" s="13">
        <f>INDEX('PF Model'!$F$217:$K$217,1,$B38-2016)</f>
        <v>10836.542412955607</v>
      </c>
      <c r="H38" s="13">
        <f>INDEX('PF Model'!$G$216:$L$216,1,$B38-2016)</f>
        <v>-301.93082871612455</v>
      </c>
      <c r="I38" s="66">
        <f t="shared" si="3"/>
        <v>10773.021446258499</v>
      </c>
    </row>
    <row r="39" spans="1:9">
      <c r="A39" s="63">
        <v>43753</v>
      </c>
      <c r="B39" s="149">
        <f t="shared" si="0"/>
        <v>2020</v>
      </c>
      <c r="C39" s="68">
        <f t="shared" si="1"/>
        <v>0.29234972677595628</v>
      </c>
      <c r="D39" s="34">
        <f>INDEX('SB 84'!$B$56:$G$56,1,$B39-2016)</f>
        <v>3487.6975449180372</v>
      </c>
      <c r="E39" s="34">
        <f>INDEX('SB 84'!$B$54:$G$54,1,$B39-2016)+INDEX('SB 84'!$B$57:$G$57,1,$B39-2016)+INDEX('SB 84'!$B$58:$G$58,1,$B39-2016)</f>
        <v>-841.33441428342655</v>
      </c>
      <c r="F39" s="66">
        <f t="shared" si="2"/>
        <v>3241.7336587750683</v>
      </c>
      <c r="G39" s="13">
        <f>INDEX('PF Model'!$F$217:$K$217,1,$B39-2016)</f>
        <v>10836.542412955607</v>
      </c>
      <c r="H39" s="13">
        <f>INDEX('PF Model'!$G$216:$L$216,1,$B39-2016)</f>
        <v>-301.93082871612455</v>
      </c>
      <c r="I39" s="66">
        <f t="shared" si="3"/>
        <v>10748.27301767521</v>
      </c>
    </row>
    <row r="40" spans="1:9">
      <c r="A40" s="63">
        <v>43784</v>
      </c>
      <c r="B40" s="149">
        <f t="shared" si="0"/>
        <v>2020</v>
      </c>
      <c r="C40" s="68">
        <f t="shared" si="1"/>
        <v>0.37704918032786883</v>
      </c>
      <c r="D40" s="34">
        <f>INDEX('SB 84'!$B$56:$G$56,1,$B40-2016)</f>
        <v>3487.6975449180372</v>
      </c>
      <c r="E40" s="34">
        <f>INDEX('SB 84'!$B$54:$G$54,1,$B40-2016)+INDEX('SB 84'!$B$57:$G$57,1,$B40-2016)+INDEX('SB 84'!$B$58:$G$58,1,$B40-2016)</f>
        <v>-841.33441428342655</v>
      </c>
      <c r="F40" s="66">
        <f t="shared" si="2"/>
        <v>3170.4730936308438</v>
      </c>
      <c r="G40" s="13">
        <f>INDEX('PF Model'!$F$217:$K$217,1,$B40-2016)</f>
        <v>10836.542412955607</v>
      </c>
      <c r="H40" s="13">
        <f>INDEX('PF Model'!$G$216:$L$216,1,$B40-2016)</f>
        <v>-301.93082871612455</v>
      </c>
      <c r="I40" s="66">
        <f t="shared" si="3"/>
        <v>10722.699641472478</v>
      </c>
    </row>
    <row r="41" spans="1:9">
      <c r="A41" s="63">
        <v>43814</v>
      </c>
      <c r="B41" s="149">
        <f t="shared" si="0"/>
        <v>2020</v>
      </c>
      <c r="C41" s="68">
        <f t="shared" si="1"/>
        <v>0.45901639344262296</v>
      </c>
      <c r="D41" s="34">
        <f>INDEX('SB 84'!$B$56:$G$56,1,$B41-2016)</f>
        <v>3487.6975449180372</v>
      </c>
      <c r="E41" s="34">
        <f>INDEX('SB 84'!$B$54:$G$54,1,$B41-2016)+INDEX('SB 84'!$B$57:$G$57,1,$B41-2016)+INDEX('SB 84'!$B$58:$G$58,1,$B41-2016)</f>
        <v>-841.33441428342655</v>
      </c>
      <c r="F41" s="66">
        <f t="shared" si="2"/>
        <v>3101.5112563944972</v>
      </c>
      <c r="G41" s="13">
        <f>INDEX('PF Model'!$F$217:$K$217,1,$B41-2016)</f>
        <v>10836.542412955607</v>
      </c>
      <c r="H41" s="13">
        <f>INDEX('PF Model'!$G$216:$L$216,1,$B41-2016)</f>
        <v>-301.93082871612455</v>
      </c>
      <c r="I41" s="66">
        <f t="shared" si="3"/>
        <v>10697.951212889189</v>
      </c>
    </row>
    <row r="42" spans="1:9">
      <c r="A42" s="63">
        <v>43845</v>
      </c>
      <c r="B42" s="149">
        <f t="shared" si="0"/>
        <v>2020</v>
      </c>
      <c r="C42" s="68">
        <f t="shared" si="1"/>
        <v>0.54371584699453557</v>
      </c>
      <c r="D42" s="34">
        <f>INDEX('SB 84'!$B$56:$G$56,1,$B42-2016)</f>
        <v>3487.6975449180372</v>
      </c>
      <c r="E42" s="34">
        <f>INDEX('SB 84'!$B$54:$G$54,1,$B42-2016)+INDEX('SB 84'!$B$57:$G$57,1,$B42-2016)+INDEX('SB 84'!$B$58:$G$58,1,$B42-2016)</f>
        <v>-841.33441428342655</v>
      </c>
      <c r="F42" s="66">
        <f t="shared" si="2"/>
        <v>3030.2506912502727</v>
      </c>
      <c r="G42" s="13">
        <f>INDEX('PF Model'!$F$217:$K$217,1,$B42-2016)</f>
        <v>10836.542412955607</v>
      </c>
      <c r="H42" s="13">
        <f>INDEX('PF Model'!$G$216:$L$216,1,$B42-2016)</f>
        <v>-301.93082871612455</v>
      </c>
      <c r="I42" s="66">
        <f t="shared" si="3"/>
        <v>10672.377836686457</v>
      </c>
    </row>
    <row r="43" spans="1:9">
      <c r="A43" s="63">
        <v>43876</v>
      </c>
      <c r="B43" s="149">
        <f t="shared" si="0"/>
        <v>2020</v>
      </c>
      <c r="C43" s="68">
        <f t="shared" si="1"/>
        <v>0.62841530054644812</v>
      </c>
      <c r="D43" s="34">
        <f>INDEX('SB 84'!$B$56:$G$56,1,$B43-2016)</f>
        <v>3487.6975449180372</v>
      </c>
      <c r="E43" s="34">
        <f>INDEX('SB 84'!$B$54:$G$54,1,$B43-2016)+INDEX('SB 84'!$B$57:$G$57,1,$B43-2016)+INDEX('SB 84'!$B$58:$G$58,1,$B43-2016)</f>
        <v>-841.33441428342655</v>
      </c>
      <c r="F43" s="66">
        <f t="shared" si="2"/>
        <v>2958.9901261060477</v>
      </c>
      <c r="G43" s="13">
        <f>INDEX('PF Model'!$F$217:$K$217,1,$B43-2016)</f>
        <v>10836.542412955607</v>
      </c>
      <c r="H43" s="13">
        <f>INDEX('PF Model'!$G$216:$L$216,1,$B43-2016)</f>
        <v>-301.93082871612455</v>
      </c>
      <c r="I43" s="66">
        <f t="shared" si="3"/>
        <v>10646.804460483725</v>
      </c>
    </row>
    <row r="44" spans="1:9">
      <c r="A44" s="63">
        <v>43905</v>
      </c>
      <c r="B44" s="149">
        <f t="shared" si="0"/>
        <v>2020</v>
      </c>
      <c r="C44" s="68">
        <f t="shared" si="1"/>
        <v>0.70765027322404372</v>
      </c>
      <c r="D44" s="34">
        <f>INDEX('SB 84'!$B$56:$G$56,1,$B44-2016)</f>
        <v>3487.6975449180372</v>
      </c>
      <c r="E44" s="34">
        <f>INDEX('SB 84'!$B$54:$G$54,1,$B44-2016)+INDEX('SB 84'!$B$57:$G$57,1,$B44-2016)+INDEX('SB 84'!$B$58:$G$58,1,$B44-2016)</f>
        <v>-841.33441428342655</v>
      </c>
      <c r="F44" s="66">
        <f t="shared" si="2"/>
        <v>2892.3270167775795</v>
      </c>
      <c r="G44" s="13">
        <f>INDEX('PF Model'!$F$217:$K$217,1,$B44-2016)</f>
        <v>10836.542412955607</v>
      </c>
      <c r="H44" s="13">
        <f>INDEX('PF Model'!$G$216:$L$216,1,$B44-2016)</f>
        <v>-301.93082871612455</v>
      </c>
      <c r="I44" s="66">
        <f t="shared" si="3"/>
        <v>10622.880979519879</v>
      </c>
    </row>
    <row r="45" spans="1:9">
      <c r="A45" s="63">
        <v>43936</v>
      </c>
      <c r="B45" s="149">
        <f t="shared" si="0"/>
        <v>2020</v>
      </c>
      <c r="C45" s="68">
        <f t="shared" si="1"/>
        <v>0.79234972677595628</v>
      </c>
      <c r="D45" s="34">
        <f>INDEX('SB 84'!$B$56:$G$56,1,$B45-2016)</f>
        <v>3487.6975449180372</v>
      </c>
      <c r="E45" s="34">
        <f>INDEX('SB 84'!$B$54:$G$54,1,$B45-2016)+INDEX('SB 84'!$B$57:$G$57,1,$B45-2016)+INDEX('SB 84'!$B$58:$G$58,1,$B45-2016)</f>
        <v>-841.33441428342655</v>
      </c>
      <c r="F45" s="66">
        <f t="shared" si="2"/>
        <v>2821.066451633355</v>
      </c>
      <c r="G45" s="13">
        <f>INDEX('PF Model'!$F$217:$K$217,1,$B45-2016)</f>
        <v>10836.542412955607</v>
      </c>
      <c r="H45" s="13">
        <f>INDEX('PF Model'!$G$216:$L$216,1,$B45-2016)</f>
        <v>-301.93082871612455</v>
      </c>
      <c r="I45" s="66">
        <f t="shared" si="3"/>
        <v>10597.307603317147</v>
      </c>
    </row>
    <row r="46" spans="1:9">
      <c r="A46" s="63">
        <v>43966</v>
      </c>
      <c r="B46" s="149">
        <f t="shared" si="0"/>
        <v>2020</v>
      </c>
      <c r="C46" s="68">
        <f t="shared" si="1"/>
        <v>0.87431693989071035</v>
      </c>
      <c r="D46" s="34">
        <f>INDEX('SB 84'!$B$56:$G$56,1,$B46-2016)</f>
        <v>3487.6975449180372</v>
      </c>
      <c r="E46" s="34">
        <f>INDEX('SB 84'!$B$54:$G$54,1,$B46-2016)+INDEX('SB 84'!$B$57:$G$57,1,$B46-2016)+INDEX('SB 84'!$B$58:$G$58,1,$B46-2016)</f>
        <v>-841.33441428342655</v>
      </c>
      <c r="F46" s="66">
        <f t="shared" si="2"/>
        <v>2752.1046143970088</v>
      </c>
      <c r="G46" s="13">
        <f>INDEX('PF Model'!$F$217:$K$217,1,$B46-2016)</f>
        <v>10836.542412955607</v>
      </c>
      <c r="H46" s="13">
        <f>INDEX('PF Model'!$G$216:$L$216,1,$B46-2016)</f>
        <v>-301.93082871612455</v>
      </c>
      <c r="I46" s="66">
        <f t="shared" si="3"/>
        <v>10572.559174733859</v>
      </c>
    </row>
    <row r="47" spans="1:9">
      <c r="A47" s="63">
        <v>43997</v>
      </c>
      <c r="B47" s="149">
        <f t="shared" si="0"/>
        <v>2020</v>
      </c>
      <c r="C47" s="68">
        <f t="shared" si="1"/>
        <v>0.95901639344262291</v>
      </c>
      <c r="D47" s="34">
        <f>INDEX('SB 84'!$B$56:$G$56,1,$B47-2016)</f>
        <v>3487.6975449180372</v>
      </c>
      <c r="E47" s="34">
        <f>INDEX('SB 84'!$B$54:$G$54,1,$B47-2016)+INDEX('SB 84'!$B$57:$G$57,1,$B47-2016)+INDEX('SB 84'!$B$58:$G$58,1,$B47-2016)</f>
        <v>-841.33441428342655</v>
      </c>
      <c r="F47" s="66">
        <f t="shared" si="2"/>
        <v>2680.8440492527839</v>
      </c>
      <c r="G47" s="13">
        <f>INDEX('PF Model'!$F$217:$K$217,1,$B47-2016)</f>
        <v>10836.542412955607</v>
      </c>
      <c r="H47" s="13">
        <f>INDEX('PF Model'!$G$216:$L$216,1,$B47-2016)</f>
        <v>-301.93082871612455</v>
      </c>
      <c r="I47" s="66">
        <f t="shared" si="3"/>
        <v>10546.985798531126</v>
      </c>
    </row>
    <row r="48" spans="1:9">
      <c r="A48" s="63">
        <v>44027</v>
      </c>
      <c r="B48" s="149">
        <f t="shared" si="0"/>
        <v>2021</v>
      </c>
      <c r="C48" s="68">
        <f t="shared" si="1"/>
        <v>4.1095890410958902E-2</v>
      </c>
      <c r="D48" s="34">
        <f>INDEX('SB 84'!$B$56:$G$56,1,$B48-2016)</f>
        <v>2646.3631306346106</v>
      </c>
      <c r="E48" s="34">
        <f>INDEX('SB 84'!$B$54:$G$54,1,$B48-2016)+INDEX('SB 84'!$B$57:$G$57,1,$B48-2016)+INDEX('SB 84'!$B$58:$G$58,1,$B48-2016)</f>
        <v>-846.78933202636279</v>
      </c>
      <c r="F48" s="66">
        <f t="shared" si="2"/>
        <v>2611.563569044486</v>
      </c>
      <c r="G48" s="13">
        <f>INDEX('PF Model'!$F$217:$K$217,1,$B48-2016)</f>
        <v>10534.611584239483</v>
      </c>
      <c r="H48" s="13">
        <f>INDEX('PF Model'!$G$216:$L$216,1,$B48-2016)</f>
        <v>-328.3002577195731</v>
      </c>
      <c r="I48" s="66">
        <f t="shared" si="3"/>
        <v>10521.11979282635</v>
      </c>
    </row>
    <row r="49" spans="1:9">
      <c r="A49" s="63">
        <v>44058</v>
      </c>
      <c r="B49" s="149">
        <f t="shared" si="0"/>
        <v>2021</v>
      </c>
      <c r="C49" s="68">
        <f t="shared" si="1"/>
        <v>0.12602739726027398</v>
      </c>
      <c r="D49" s="34">
        <f>INDEX('SB 84'!$B$56:$G$56,1,$B49-2016)</f>
        <v>2646.3631306346106</v>
      </c>
      <c r="E49" s="34">
        <f>INDEX('SB 84'!$B$54:$G$54,1,$B49-2016)+INDEX('SB 84'!$B$57:$G$57,1,$B49-2016)+INDEX('SB 84'!$B$58:$G$58,1,$B49-2016)</f>
        <v>-846.78933202636279</v>
      </c>
      <c r="F49" s="66">
        <f t="shared" si="2"/>
        <v>2539.6444750915621</v>
      </c>
      <c r="G49" s="13">
        <f>INDEX('PF Model'!$F$217:$K$217,1,$B49-2016)</f>
        <v>10534.611584239483</v>
      </c>
      <c r="H49" s="13">
        <f>INDEX('PF Model'!$G$216:$L$216,1,$B49-2016)</f>
        <v>-328.3002577195731</v>
      </c>
      <c r="I49" s="66">
        <f t="shared" si="3"/>
        <v>10493.236757239209</v>
      </c>
    </row>
    <row r="50" spans="1:9">
      <c r="A50" s="63">
        <v>44089</v>
      </c>
      <c r="B50" s="149">
        <f t="shared" si="0"/>
        <v>2021</v>
      </c>
      <c r="C50" s="68">
        <f t="shared" si="1"/>
        <v>0.21095890410958903</v>
      </c>
      <c r="D50" s="34">
        <f>INDEX('SB 84'!$B$56:$G$56,1,$B50-2016)</f>
        <v>2646.3631306346106</v>
      </c>
      <c r="E50" s="34">
        <f>INDEX('SB 84'!$B$54:$G$54,1,$B50-2016)+INDEX('SB 84'!$B$57:$G$57,1,$B50-2016)+INDEX('SB 84'!$B$58:$G$58,1,$B50-2016)</f>
        <v>-846.78933202636279</v>
      </c>
      <c r="F50" s="66">
        <f t="shared" si="2"/>
        <v>2467.7253811386381</v>
      </c>
      <c r="G50" s="13">
        <f>INDEX('PF Model'!$F$217:$K$217,1,$B50-2016)</f>
        <v>10534.611584239483</v>
      </c>
      <c r="H50" s="13">
        <f>INDEX('PF Model'!$G$216:$L$216,1,$B50-2016)</f>
        <v>-328.3002577195731</v>
      </c>
      <c r="I50" s="66">
        <f t="shared" si="3"/>
        <v>10465.353721652065</v>
      </c>
    </row>
    <row r="51" spans="1:9">
      <c r="A51" s="63">
        <v>44119</v>
      </c>
      <c r="B51" s="149">
        <f t="shared" si="0"/>
        <v>2021</v>
      </c>
      <c r="C51" s="68">
        <f t="shared" si="1"/>
        <v>0.29315068493150687</v>
      </c>
      <c r="D51" s="34">
        <f>INDEX('SB 84'!$B$56:$G$56,1,$B51-2016)</f>
        <v>2646.3631306346106</v>
      </c>
      <c r="E51" s="34">
        <f>INDEX('SB 84'!$B$54:$G$54,1,$B51-2016)+INDEX('SB 84'!$B$57:$G$57,1,$B51-2016)+INDEX('SB 84'!$B$58:$G$58,1,$B51-2016)</f>
        <v>-846.78933202636279</v>
      </c>
      <c r="F51" s="66">
        <f t="shared" si="2"/>
        <v>2398.126257958389</v>
      </c>
      <c r="G51" s="13">
        <f>INDEX('PF Model'!$F$217:$K$217,1,$B51-2016)</f>
        <v>10534.611584239483</v>
      </c>
      <c r="H51" s="13">
        <f>INDEX('PF Model'!$G$216:$L$216,1,$B51-2016)</f>
        <v>-328.3002577195731</v>
      </c>
      <c r="I51" s="66">
        <f t="shared" si="3"/>
        <v>10438.3701388258</v>
      </c>
    </row>
    <row r="52" spans="1:9">
      <c r="A52" s="63">
        <v>44150</v>
      </c>
      <c r="B52" s="149">
        <f t="shared" si="0"/>
        <v>2021</v>
      </c>
      <c r="C52" s="68">
        <f t="shared" si="1"/>
        <v>0.37808219178082192</v>
      </c>
      <c r="D52" s="34">
        <f>INDEX('SB 84'!$B$56:$G$56,1,$B52-2016)</f>
        <v>2646.3631306346106</v>
      </c>
      <c r="E52" s="34">
        <f>INDEX('SB 84'!$B$54:$G$54,1,$B52-2016)+INDEX('SB 84'!$B$57:$G$57,1,$B52-2016)+INDEX('SB 84'!$B$58:$G$58,1,$B52-2016)</f>
        <v>-846.78933202636279</v>
      </c>
      <c r="F52" s="66">
        <f t="shared" si="2"/>
        <v>2326.2071640054651</v>
      </c>
      <c r="G52" s="13">
        <f>INDEX('PF Model'!$F$217:$K$217,1,$B52-2016)</f>
        <v>10534.611584239483</v>
      </c>
      <c r="H52" s="13">
        <f>INDEX('PF Model'!$G$216:$L$216,1,$B52-2016)</f>
        <v>-328.3002577195731</v>
      </c>
      <c r="I52" s="66">
        <f t="shared" si="3"/>
        <v>10410.487103238658</v>
      </c>
    </row>
    <row r="53" spans="1:9">
      <c r="A53" s="63">
        <v>44180</v>
      </c>
      <c r="B53" s="149">
        <f t="shared" si="0"/>
        <v>2021</v>
      </c>
      <c r="C53" s="68">
        <f t="shared" si="1"/>
        <v>0.46027397260273972</v>
      </c>
      <c r="D53" s="34">
        <f>INDEX('SB 84'!$B$56:$G$56,1,$B53-2016)</f>
        <v>2646.3631306346106</v>
      </c>
      <c r="E53" s="34">
        <f>INDEX('SB 84'!$B$54:$G$54,1,$B53-2016)+INDEX('SB 84'!$B$57:$G$57,1,$B53-2016)+INDEX('SB 84'!$B$58:$G$58,1,$B53-2016)</f>
        <v>-846.78933202636279</v>
      </c>
      <c r="F53" s="66">
        <f t="shared" si="2"/>
        <v>2256.6080408252164</v>
      </c>
      <c r="G53" s="13">
        <f>INDEX('PF Model'!$F$217:$K$217,1,$B53-2016)</f>
        <v>10534.611584239483</v>
      </c>
      <c r="H53" s="13">
        <f>INDEX('PF Model'!$G$216:$L$216,1,$B53-2016)</f>
        <v>-328.3002577195731</v>
      </c>
      <c r="I53" s="66">
        <f t="shared" si="3"/>
        <v>10383.503520412392</v>
      </c>
    </row>
    <row r="54" spans="1:9">
      <c r="A54" s="63">
        <v>44211</v>
      </c>
      <c r="B54" s="149">
        <f t="shared" si="0"/>
        <v>2021</v>
      </c>
      <c r="C54" s="68">
        <f t="shared" si="1"/>
        <v>0.54520547945205478</v>
      </c>
      <c r="D54" s="34">
        <f>INDEX('SB 84'!$B$56:$G$56,1,$B54-2016)</f>
        <v>2646.3631306346106</v>
      </c>
      <c r="E54" s="34">
        <f>INDEX('SB 84'!$B$54:$G$54,1,$B54-2016)+INDEX('SB 84'!$B$57:$G$57,1,$B54-2016)+INDEX('SB 84'!$B$58:$G$58,1,$B54-2016)</f>
        <v>-846.78933202636279</v>
      </c>
      <c r="F54" s="66">
        <f t="shared" si="2"/>
        <v>2184.688946872292</v>
      </c>
      <c r="G54" s="13">
        <f>INDEX('PF Model'!$F$217:$K$217,1,$B54-2016)</f>
        <v>10534.611584239483</v>
      </c>
      <c r="H54" s="13">
        <f>INDEX('PF Model'!$G$216:$L$216,1,$B54-2016)</f>
        <v>-328.3002577195731</v>
      </c>
      <c r="I54" s="66">
        <f t="shared" si="3"/>
        <v>10355.620484825249</v>
      </c>
    </row>
    <row r="55" spans="1:9">
      <c r="A55" s="63">
        <v>44242</v>
      </c>
      <c r="B55" s="149">
        <f t="shared" si="0"/>
        <v>2021</v>
      </c>
      <c r="C55" s="68">
        <f t="shared" si="1"/>
        <v>0.63013698630136983</v>
      </c>
      <c r="D55" s="34">
        <f>INDEX('SB 84'!$B$56:$G$56,1,$B55-2016)</f>
        <v>2646.3631306346106</v>
      </c>
      <c r="E55" s="34">
        <f>INDEX('SB 84'!$B$54:$G$54,1,$B55-2016)+INDEX('SB 84'!$B$57:$G$57,1,$B55-2016)+INDEX('SB 84'!$B$58:$G$58,1,$B55-2016)</f>
        <v>-846.78933202636279</v>
      </c>
      <c r="F55" s="66">
        <f t="shared" si="2"/>
        <v>2112.7698529193685</v>
      </c>
      <c r="G55" s="13">
        <f>INDEX('PF Model'!$F$217:$K$217,1,$B55-2016)</f>
        <v>10534.611584239483</v>
      </c>
      <c r="H55" s="13">
        <f>INDEX('PF Model'!$G$216:$L$216,1,$B55-2016)</f>
        <v>-328.3002577195731</v>
      </c>
      <c r="I55" s="66">
        <f t="shared" si="3"/>
        <v>10327.737449238108</v>
      </c>
    </row>
    <row r="56" spans="1:9">
      <c r="A56" s="63">
        <v>44270</v>
      </c>
      <c r="B56" s="149">
        <f t="shared" si="0"/>
        <v>2021</v>
      </c>
      <c r="C56" s="68">
        <f t="shared" si="1"/>
        <v>0.70684931506849313</v>
      </c>
      <c r="D56" s="34">
        <f>INDEX('SB 84'!$B$56:$G$56,1,$B56-2016)</f>
        <v>2646.3631306346106</v>
      </c>
      <c r="E56" s="34">
        <f>INDEX('SB 84'!$B$54:$G$54,1,$B56-2016)+INDEX('SB 84'!$B$57:$G$57,1,$B56-2016)+INDEX('SB 84'!$B$58:$G$58,1,$B56-2016)</f>
        <v>-846.78933202636279</v>
      </c>
      <c r="F56" s="66">
        <f t="shared" si="2"/>
        <v>2047.8106712844692</v>
      </c>
      <c r="G56" s="13">
        <f>INDEX('PF Model'!$F$217:$K$217,1,$B56-2016)</f>
        <v>10534.611584239483</v>
      </c>
      <c r="H56" s="13">
        <f>INDEX('PF Model'!$G$216:$L$216,1,$B56-2016)</f>
        <v>-328.3002577195731</v>
      </c>
      <c r="I56" s="66">
        <f t="shared" si="3"/>
        <v>10302.552771933593</v>
      </c>
    </row>
    <row r="57" spans="1:9">
      <c r="A57" s="63">
        <v>44301</v>
      </c>
      <c r="B57" s="149">
        <f t="shared" si="0"/>
        <v>2021</v>
      </c>
      <c r="C57" s="68">
        <f t="shared" si="1"/>
        <v>0.79178082191780819</v>
      </c>
      <c r="D57" s="34">
        <f>INDEX('SB 84'!$B$56:$G$56,1,$B57-2016)</f>
        <v>2646.3631306346106</v>
      </c>
      <c r="E57" s="34">
        <f>INDEX('SB 84'!$B$54:$G$54,1,$B57-2016)+INDEX('SB 84'!$B$57:$G$57,1,$B57-2016)+INDEX('SB 84'!$B$58:$G$58,1,$B57-2016)</f>
        <v>-846.78933202636279</v>
      </c>
      <c r="F57" s="66">
        <f t="shared" si="2"/>
        <v>1975.8915773315452</v>
      </c>
      <c r="G57" s="13">
        <f>INDEX('PF Model'!$F$217:$K$217,1,$B57-2016)</f>
        <v>10534.611584239483</v>
      </c>
      <c r="H57" s="13">
        <f>INDEX('PF Model'!$G$216:$L$216,1,$B57-2016)</f>
        <v>-328.3002577195731</v>
      </c>
      <c r="I57" s="66">
        <f t="shared" si="3"/>
        <v>10274.669736346452</v>
      </c>
    </row>
    <row r="58" spans="1:9">
      <c r="A58" s="63">
        <v>44331</v>
      </c>
      <c r="B58" s="149">
        <f t="shared" si="0"/>
        <v>2021</v>
      </c>
      <c r="C58" s="68">
        <f t="shared" si="1"/>
        <v>0.87397260273972599</v>
      </c>
      <c r="D58" s="34">
        <f>INDEX('SB 84'!$B$56:$G$56,1,$B58-2016)</f>
        <v>2646.3631306346106</v>
      </c>
      <c r="E58" s="34">
        <f>INDEX('SB 84'!$B$54:$G$54,1,$B58-2016)+INDEX('SB 84'!$B$57:$G$57,1,$B58-2016)+INDEX('SB 84'!$B$58:$G$58,1,$B58-2016)</f>
        <v>-846.78933202636279</v>
      </c>
      <c r="F58" s="66">
        <f t="shared" si="2"/>
        <v>1906.2924541512962</v>
      </c>
      <c r="G58" s="13">
        <f>INDEX('PF Model'!$F$217:$K$217,1,$B58-2016)</f>
        <v>10534.611584239483</v>
      </c>
      <c r="H58" s="13">
        <f>INDEX('PF Model'!$G$216:$L$216,1,$B58-2016)</f>
        <v>-328.3002577195731</v>
      </c>
      <c r="I58" s="66">
        <f t="shared" si="3"/>
        <v>10247.686153520184</v>
      </c>
    </row>
    <row r="59" spans="1:9">
      <c r="A59" s="63">
        <v>44362</v>
      </c>
      <c r="B59" s="149">
        <f t="shared" si="0"/>
        <v>2021</v>
      </c>
      <c r="C59" s="68">
        <f t="shared" si="1"/>
        <v>0.95890410958904104</v>
      </c>
      <c r="D59" s="34">
        <f>INDEX('SB 84'!$B$56:$G$56,1,$B59-2016)</f>
        <v>2646.3631306346106</v>
      </c>
      <c r="E59" s="34">
        <f>INDEX('SB 84'!$B$54:$G$54,1,$B59-2016)+INDEX('SB 84'!$B$57:$G$57,1,$B59-2016)+INDEX('SB 84'!$B$58:$G$58,1,$B59-2016)</f>
        <v>-846.78933202636279</v>
      </c>
      <c r="F59" s="66">
        <f t="shared" si="2"/>
        <v>1834.3733601983722</v>
      </c>
      <c r="G59" s="13">
        <f>INDEX('PF Model'!$F$217:$K$217,1,$B59-2016)</f>
        <v>10534.611584239483</v>
      </c>
      <c r="H59" s="13">
        <f>INDEX('PF Model'!$G$216:$L$216,1,$B59-2016)</f>
        <v>-328.3002577195731</v>
      </c>
      <c r="I59" s="66">
        <f t="shared" si="3"/>
        <v>10219.803117933043</v>
      </c>
    </row>
    <row r="60" spans="1:9">
      <c r="A60" s="63">
        <v>44392</v>
      </c>
      <c r="B60" s="149">
        <f t="shared" si="0"/>
        <v>2022</v>
      </c>
      <c r="C60" s="68">
        <f t="shared" si="1"/>
        <v>4.1095890410958902E-2</v>
      </c>
      <c r="D60" s="34">
        <f>INDEX('SB 84'!$B$56:$G$56,1,$B60-2016)</f>
        <v>1799.5737986082479</v>
      </c>
      <c r="E60" s="34">
        <f>INDEX('SB 84'!$B$54:$G$54,1,$B60-2016)+INDEX('SB 84'!$B$57:$G$57,1,$B60-2016)+INDEX('SB 84'!$B$58:$G$58,1,$B60-2016)</f>
        <v>-783.73173647179271</v>
      </c>
      <c r="F60" s="66">
        <f t="shared" si="2"/>
        <v>1767.3656450546125</v>
      </c>
      <c r="G60" s="13">
        <f>INDEX('PF Model'!$F$217:$K$217,1,$B60-2016)</f>
        <v>10206.31132651991</v>
      </c>
      <c r="H60" s="13">
        <f>INDEX('PF Model'!$G$216:$L$216,1,$B60-2016)</f>
        <v>-526.19345784367476</v>
      </c>
      <c r="I60" s="66">
        <f t="shared" si="3"/>
        <v>10184.686937841403</v>
      </c>
    </row>
    <row r="61" spans="1:9">
      <c r="A61" s="63">
        <v>44423</v>
      </c>
      <c r="B61" s="149">
        <f t="shared" si="0"/>
        <v>2022</v>
      </c>
      <c r="C61" s="68">
        <f t="shared" si="1"/>
        <v>0.12602739726027398</v>
      </c>
      <c r="D61" s="34">
        <f>INDEX('SB 84'!$B$56:$G$56,1,$B61-2016)</f>
        <v>1799.5737986082479</v>
      </c>
      <c r="E61" s="34">
        <f>INDEX('SB 84'!$B$54:$G$54,1,$B61-2016)+INDEX('SB 84'!$B$57:$G$57,1,$B61-2016)+INDEX('SB 84'!$B$58:$G$58,1,$B61-2016)</f>
        <v>-783.73173647179271</v>
      </c>
      <c r="F61" s="66">
        <f t="shared" si="2"/>
        <v>1700.8021277104328</v>
      </c>
      <c r="G61" s="13">
        <f>INDEX('PF Model'!$F$217:$K$217,1,$B61-2016)</f>
        <v>10206.31132651991</v>
      </c>
      <c r="H61" s="13">
        <f>INDEX('PF Model'!$G$216:$L$216,1,$B61-2016)</f>
        <v>-526.19345784367476</v>
      </c>
      <c r="I61" s="66">
        <f t="shared" si="3"/>
        <v>10139.996534572489</v>
      </c>
    </row>
    <row r="62" spans="1:9">
      <c r="A62" s="63">
        <v>44454</v>
      </c>
      <c r="B62" s="149">
        <f t="shared" si="0"/>
        <v>2022</v>
      </c>
      <c r="C62" s="68">
        <f t="shared" si="1"/>
        <v>0.21095890410958903</v>
      </c>
      <c r="D62" s="34">
        <f>INDEX('SB 84'!$B$56:$G$56,1,$B62-2016)</f>
        <v>1799.5737986082479</v>
      </c>
      <c r="E62" s="34">
        <f>INDEX('SB 84'!$B$54:$G$54,1,$B62-2016)+INDEX('SB 84'!$B$57:$G$57,1,$B62-2016)+INDEX('SB 84'!$B$58:$G$58,1,$B62-2016)</f>
        <v>-783.73173647179271</v>
      </c>
      <c r="F62" s="66">
        <f t="shared" si="2"/>
        <v>1634.2386103662534</v>
      </c>
      <c r="G62" s="13">
        <f>INDEX('PF Model'!$F$217:$K$217,1,$B62-2016)</f>
        <v>10206.31132651991</v>
      </c>
      <c r="H62" s="13">
        <f>INDEX('PF Model'!$G$216:$L$216,1,$B62-2016)</f>
        <v>-526.19345784367476</v>
      </c>
      <c r="I62" s="66">
        <f t="shared" si="3"/>
        <v>10095.306131303572</v>
      </c>
    </row>
    <row r="63" spans="1:9">
      <c r="A63" s="63">
        <v>44484</v>
      </c>
      <c r="B63" s="149">
        <f t="shared" si="0"/>
        <v>2022</v>
      </c>
      <c r="C63" s="68">
        <f t="shared" si="1"/>
        <v>0.29315068493150687</v>
      </c>
      <c r="D63" s="34">
        <f>INDEX('SB 84'!$B$56:$G$56,1,$B63-2016)</f>
        <v>1799.5737986082479</v>
      </c>
      <c r="E63" s="34">
        <f>INDEX('SB 84'!$B$54:$G$54,1,$B63-2016)+INDEX('SB 84'!$B$57:$G$57,1,$B63-2016)+INDEX('SB 84'!$B$58:$G$58,1,$B63-2016)</f>
        <v>-783.73173647179271</v>
      </c>
      <c r="F63" s="66">
        <f t="shared" si="2"/>
        <v>1569.8223032589826</v>
      </c>
      <c r="G63" s="13">
        <f>INDEX('PF Model'!$F$217:$K$217,1,$B63-2016)</f>
        <v>10206.31132651991</v>
      </c>
      <c r="H63" s="13">
        <f>INDEX('PF Model'!$G$216:$L$216,1,$B63-2016)</f>
        <v>-526.19345784367476</v>
      </c>
      <c r="I63" s="66">
        <f t="shared" si="3"/>
        <v>10052.057353946559</v>
      </c>
    </row>
    <row r="64" spans="1:9">
      <c r="A64" s="63">
        <v>44515</v>
      </c>
      <c r="B64" s="149">
        <f t="shared" si="0"/>
        <v>2022</v>
      </c>
      <c r="C64" s="68">
        <f t="shared" si="1"/>
        <v>0.37808219178082192</v>
      </c>
      <c r="D64" s="34">
        <f>INDEX('SB 84'!$B$56:$G$56,1,$B64-2016)</f>
        <v>1799.5737986082479</v>
      </c>
      <c r="E64" s="34">
        <f>INDEX('SB 84'!$B$54:$G$54,1,$B64-2016)+INDEX('SB 84'!$B$57:$G$57,1,$B64-2016)+INDEX('SB 84'!$B$58:$G$58,1,$B64-2016)</f>
        <v>-783.73173647179271</v>
      </c>
      <c r="F64" s="66">
        <f t="shared" si="2"/>
        <v>1503.258785914803</v>
      </c>
      <c r="G64" s="13">
        <f>INDEX('PF Model'!$F$217:$K$217,1,$B64-2016)</f>
        <v>10206.31132651991</v>
      </c>
      <c r="H64" s="13">
        <f>INDEX('PF Model'!$G$216:$L$216,1,$B64-2016)</f>
        <v>-526.19345784367476</v>
      </c>
      <c r="I64" s="66">
        <f t="shared" si="3"/>
        <v>10007.366950677644</v>
      </c>
    </row>
    <row r="65" spans="1:9">
      <c r="A65" s="63">
        <v>44545</v>
      </c>
      <c r="B65" s="149">
        <f t="shared" si="0"/>
        <v>2022</v>
      </c>
      <c r="C65" s="68">
        <f t="shared" si="1"/>
        <v>0.46027397260273972</v>
      </c>
      <c r="D65" s="34">
        <f>INDEX('SB 84'!$B$56:$G$56,1,$B65-2016)</f>
        <v>1799.5737986082479</v>
      </c>
      <c r="E65" s="34">
        <f>INDEX('SB 84'!$B$54:$G$54,1,$B65-2016)+INDEX('SB 84'!$B$57:$G$57,1,$B65-2016)+INDEX('SB 84'!$B$58:$G$58,1,$B65-2016)</f>
        <v>-783.73173647179271</v>
      </c>
      <c r="F65" s="66">
        <f t="shared" si="2"/>
        <v>1438.8424788075324</v>
      </c>
      <c r="G65" s="13">
        <f>INDEX('PF Model'!$F$217:$K$217,1,$B65-2016)</f>
        <v>10206.31132651991</v>
      </c>
      <c r="H65" s="13">
        <f>INDEX('PF Model'!$G$216:$L$216,1,$B65-2016)</f>
        <v>-526.19345784367476</v>
      </c>
      <c r="I65" s="66">
        <f t="shared" si="3"/>
        <v>9964.1181733206304</v>
      </c>
    </row>
    <row r="66" spans="1:9">
      <c r="A66" s="63">
        <v>44576</v>
      </c>
      <c r="B66" s="149">
        <f t="shared" si="0"/>
        <v>2022</v>
      </c>
      <c r="C66" s="68">
        <f t="shared" si="1"/>
        <v>0.54520547945205478</v>
      </c>
      <c r="D66" s="34">
        <f>INDEX('SB 84'!$B$56:$G$56,1,$B66-2016)</f>
        <v>1799.5737986082479</v>
      </c>
      <c r="E66" s="34">
        <f>INDEX('SB 84'!$B$54:$G$54,1,$B66-2016)+INDEX('SB 84'!$B$57:$G$57,1,$B66-2016)+INDEX('SB 84'!$B$58:$G$58,1,$B66-2016)</f>
        <v>-783.73173647179271</v>
      </c>
      <c r="F66" s="66">
        <f t="shared" si="2"/>
        <v>1372.2789614633527</v>
      </c>
      <c r="G66" s="13">
        <f>INDEX('PF Model'!$F$217:$K$217,1,$B66-2016)</f>
        <v>10206.31132651991</v>
      </c>
      <c r="H66" s="13">
        <f>INDEX('PF Model'!$G$216:$L$216,1,$B66-2016)</f>
        <v>-526.19345784367476</v>
      </c>
      <c r="I66" s="66">
        <f t="shared" si="3"/>
        <v>9919.4277700517141</v>
      </c>
    </row>
    <row r="67" spans="1:9">
      <c r="A67" s="63">
        <v>44607</v>
      </c>
      <c r="B67" s="149">
        <f t="shared" si="0"/>
        <v>2022</v>
      </c>
      <c r="C67" s="68">
        <f t="shared" si="1"/>
        <v>0.63013698630136983</v>
      </c>
      <c r="D67" s="34">
        <f>INDEX('SB 84'!$B$56:$G$56,1,$B67-2016)</f>
        <v>1799.5737986082479</v>
      </c>
      <c r="E67" s="34">
        <f>INDEX('SB 84'!$B$54:$G$54,1,$B67-2016)+INDEX('SB 84'!$B$57:$G$57,1,$B67-2016)+INDEX('SB 84'!$B$58:$G$58,1,$B67-2016)</f>
        <v>-783.73173647179271</v>
      </c>
      <c r="F67" s="66">
        <f t="shared" si="2"/>
        <v>1305.7154441191731</v>
      </c>
      <c r="G67" s="13">
        <f>INDEX('PF Model'!$F$217:$K$217,1,$B67-2016)</f>
        <v>10206.31132651991</v>
      </c>
      <c r="H67" s="13">
        <f>INDEX('PF Model'!$G$216:$L$216,1,$B67-2016)</f>
        <v>-526.19345784367476</v>
      </c>
      <c r="I67" s="66">
        <f t="shared" si="3"/>
        <v>9874.7373667827997</v>
      </c>
    </row>
    <row r="68" spans="1:9">
      <c r="A68" s="63">
        <v>44635</v>
      </c>
      <c r="B68" s="149">
        <f t="shared" si="0"/>
        <v>2022</v>
      </c>
      <c r="C68" s="68">
        <f t="shared" si="1"/>
        <v>0.70684931506849313</v>
      </c>
      <c r="D68" s="34">
        <f>INDEX('SB 84'!$B$56:$G$56,1,$B68-2016)</f>
        <v>1799.5737986082479</v>
      </c>
      <c r="E68" s="34">
        <f>INDEX('SB 84'!$B$54:$G$54,1,$B68-2016)+INDEX('SB 84'!$B$57:$G$57,1,$B68-2016)+INDEX('SB 84'!$B$58:$G$58,1,$B68-2016)</f>
        <v>-783.73173647179271</v>
      </c>
      <c r="F68" s="66">
        <f t="shared" si="2"/>
        <v>1245.5935574857203</v>
      </c>
      <c r="G68" s="13">
        <f>INDEX('PF Model'!$F$217:$K$217,1,$B68-2016)</f>
        <v>10206.31132651991</v>
      </c>
      <c r="H68" s="13">
        <f>INDEX('PF Model'!$G$216:$L$216,1,$B68-2016)</f>
        <v>-526.19345784367476</v>
      </c>
      <c r="I68" s="66">
        <f t="shared" si="3"/>
        <v>9834.3718412495873</v>
      </c>
    </row>
    <row r="69" spans="1:9">
      <c r="A69" s="63">
        <v>44666</v>
      </c>
      <c r="B69" s="149">
        <f t="shared" si="0"/>
        <v>2022</v>
      </c>
      <c r="C69" s="68">
        <f t="shared" si="1"/>
        <v>0.79178082191780819</v>
      </c>
      <c r="D69" s="34">
        <f>INDEX('SB 84'!$B$56:$G$56,1,$B69-2016)</f>
        <v>1799.5737986082479</v>
      </c>
      <c r="E69" s="34">
        <f>INDEX('SB 84'!$B$54:$G$54,1,$B69-2016)+INDEX('SB 84'!$B$57:$G$57,1,$B69-2016)+INDEX('SB 84'!$B$58:$G$58,1,$B69-2016)</f>
        <v>-783.73173647179271</v>
      </c>
      <c r="F69" s="66">
        <f t="shared" si="2"/>
        <v>1179.0300401415407</v>
      </c>
      <c r="G69" s="13">
        <f>INDEX('PF Model'!$F$217:$K$217,1,$B69-2016)</f>
        <v>10206.31132651991</v>
      </c>
      <c r="H69" s="13">
        <f>INDEX('PF Model'!$G$216:$L$216,1,$B69-2016)</f>
        <v>-526.19345784367476</v>
      </c>
      <c r="I69" s="66">
        <f t="shared" si="3"/>
        <v>9789.681437980671</v>
      </c>
    </row>
    <row r="70" spans="1:9">
      <c r="A70" s="63">
        <v>44696</v>
      </c>
      <c r="B70" s="149">
        <f t="shared" si="0"/>
        <v>2022</v>
      </c>
      <c r="C70" s="68">
        <f t="shared" si="1"/>
        <v>0.87397260273972599</v>
      </c>
      <c r="D70" s="34">
        <f>INDEX('SB 84'!$B$56:$G$56,1,$B70-2016)</f>
        <v>1799.5737986082479</v>
      </c>
      <c r="E70" s="34">
        <f>INDEX('SB 84'!$B$54:$G$54,1,$B70-2016)+INDEX('SB 84'!$B$57:$G$57,1,$B70-2016)+INDEX('SB 84'!$B$58:$G$58,1,$B70-2016)</f>
        <v>-783.73173647179271</v>
      </c>
      <c r="F70" s="66">
        <f t="shared" si="2"/>
        <v>1114.6137330342704</v>
      </c>
      <c r="G70" s="13">
        <f>INDEX('PF Model'!$F$217:$K$217,1,$B70-2016)</f>
        <v>10206.31132651991</v>
      </c>
      <c r="H70" s="13">
        <f>INDEX('PF Model'!$G$216:$L$216,1,$B70-2016)</f>
        <v>-526.19345784367476</v>
      </c>
      <c r="I70" s="66">
        <f t="shared" si="3"/>
        <v>9746.4326606236573</v>
      </c>
    </row>
    <row r="71" spans="1:9">
      <c r="A71" s="63">
        <v>44727</v>
      </c>
      <c r="B71" s="149">
        <f t="shared" si="0"/>
        <v>2022</v>
      </c>
      <c r="C71" s="68">
        <f t="shared" si="1"/>
        <v>0.95890410958904104</v>
      </c>
      <c r="D71" s="34">
        <f>INDEX('SB 84'!$B$56:$G$56,1,$B71-2016)</f>
        <v>1799.5737986082479</v>
      </c>
      <c r="E71" s="34">
        <f>INDEX('SB 84'!$B$54:$G$54,1,$B71-2016)+INDEX('SB 84'!$B$57:$G$57,1,$B71-2016)+INDEX('SB 84'!$B$58:$G$58,1,$B71-2016)</f>
        <v>-783.73173647179271</v>
      </c>
      <c r="F71" s="66">
        <f t="shared" si="2"/>
        <v>1048.0502156900907</v>
      </c>
      <c r="G71" s="13">
        <f>INDEX('PF Model'!$F$217:$K$217,1,$B71-2016)</f>
        <v>10206.31132651991</v>
      </c>
      <c r="H71" s="13">
        <f>INDEX('PF Model'!$G$216:$L$216,1,$B71-2016)</f>
        <v>-526.19345784367476</v>
      </c>
      <c r="I71" s="66">
        <f t="shared" si="3"/>
        <v>9701.7422573547428</v>
      </c>
    </row>
    <row r="72" spans="1:9">
      <c r="A72" s="63">
        <v>44742</v>
      </c>
      <c r="B72" s="149">
        <f t="shared" si="0"/>
        <v>2022</v>
      </c>
      <c r="C72" s="70">
        <f t="shared" si="1"/>
        <v>1</v>
      </c>
      <c r="D72" s="34">
        <f>INDEX('SB 84'!$B$56:$G$56,1,$B72-2016)</f>
        <v>1799.5737986082479</v>
      </c>
      <c r="E72" s="34">
        <f>INDEX('SB 84'!$B$54:$G$54,1,$B72-2016)+INDEX('SB 84'!$B$57:$G$57,1,$B72-2016)+INDEX('SB 84'!$B$58:$G$58,1,$B72-2016)</f>
        <v>-783.73173647179271</v>
      </c>
      <c r="F72" s="66">
        <f t="shared" si="2"/>
        <v>1015.8420621364552</v>
      </c>
      <c r="G72" s="13">
        <f>INDEX('PF Model'!$F$217:$K$217,1,$B72-2016)</f>
        <v>10206.31132651991</v>
      </c>
      <c r="H72" s="13">
        <f>INDEX('PF Model'!$G$216:$L$216,1,$B72-2016)</f>
        <v>-526.19345784367476</v>
      </c>
      <c r="I72" s="66">
        <f t="shared" si="3"/>
        <v>9680.117868676236</v>
      </c>
    </row>
    <row r="74" spans="1:9">
      <c r="F74" s="112">
        <f>F72/-E72</f>
        <v>1.2961604269205402</v>
      </c>
      <c r="G74" s="149" t="s">
        <v>173</v>
      </c>
    </row>
    <row r="75" spans="1:9">
      <c r="F75" s="63">
        <f>A72+F74*365</f>
        <v>45215.098555826</v>
      </c>
    </row>
    <row r="76" spans="1:9">
      <c r="F76" s="103">
        <f>YEARFRAC(F75,DATE(YEAR(F75), 1,1))+YEAR(F75)</f>
        <v>2023.7916666666667</v>
      </c>
    </row>
    <row r="1838" spans="1:1">
      <c r="A1838" s="63"/>
    </row>
    <row r="1839" spans="1:1">
      <c r="A1839" s="63"/>
    </row>
    <row r="1840" spans="1:1">
      <c r="A1840" s="63"/>
    </row>
    <row r="1841" spans="1:1">
      <c r="A1841" s="63"/>
    </row>
    <row r="1842" spans="1:1">
      <c r="A1842" s="63"/>
    </row>
    <row r="1843" spans="1:1">
      <c r="A1843" s="63"/>
    </row>
    <row r="1844" spans="1:1">
      <c r="A1844" s="63"/>
    </row>
    <row r="1845" spans="1:1">
      <c r="A1845" s="63"/>
    </row>
    <row r="1846" spans="1:1">
      <c r="A1846" s="63"/>
    </row>
    <row r="1847" spans="1:1">
      <c r="A1847" s="63"/>
    </row>
    <row r="1848" spans="1:1">
      <c r="A1848" s="63"/>
    </row>
    <row r="1849" spans="1:1">
      <c r="A1849" s="63"/>
    </row>
    <row r="1850" spans="1:1">
      <c r="A1850" s="63"/>
    </row>
    <row r="1851" spans="1:1">
      <c r="A1851" s="63"/>
    </row>
    <row r="1852" spans="1:1">
      <c r="A1852" s="63"/>
    </row>
    <row r="1853" spans="1:1">
      <c r="A1853" s="63"/>
    </row>
    <row r="1854" spans="1:1">
      <c r="A1854" s="63"/>
    </row>
    <row r="1855" spans="1:1">
      <c r="A1855" s="63"/>
    </row>
    <row r="1856" spans="1:1">
      <c r="A1856" s="63"/>
    </row>
    <row r="1857" spans="1:1">
      <c r="A1857" s="63"/>
    </row>
    <row r="1858" spans="1:1">
      <c r="A1858" s="63"/>
    </row>
    <row r="1859" spans="1:1">
      <c r="A1859" s="63"/>
    </row>
    <row r="1860" spans="1:1">
      <c r="A1860" s="63"/>
    </row>
    <row r="1861" spans="1:1">
      <c r="A1861" s="63"/>
    </row>
    <row r="1862" spans="1:1">
      <c r="A1862" s="63"/>
    </row>
    <row r="1863" spans="1:1">
      <c r="A1863" s="63"/>
    </row>
    <row r="1864" spans="1:1">
      <c r="A1864" s="63"/>
    </row>
    <row r="1865" spans="1:1">
      <c r="A1865" s="63"/>
    </row>
    <row r="1866" spans="1:1">
      <c r="A1866" s="63"/>
    </row>
    <row r="1867" spans="1:1">
      <c r="A1867" s="63"/>
    </row>
    <row r="1868" spans="1:1">
      <c r="A1868" s="63"/>
    </row>
    <row r="1869" spans="1:1">
      <c r="A1869" s="63"/>
    </row>
    <row r="1870" spans="1:1">
      <c r="A1870" s="63"/>
    </row>
    <row r="1871" spans="1:1">
      <c r="A1871" s="63"/>
    </row>
    <row r="1872" spans="1:1">
      <c r="A1872" s="63"/>
    </row>
    <row r="1873" spans="1:1">
      <c r="A1873" s="63"/>
    </row>
    <row r="1874" spans="1:1">
      <c r="A1874" s="63"/>
    </row>
    <row r="1875" spans="1:1">
      <c r="A1875" s="63"/>
    </row>
    <row r="1876" spans="1:1">
      <c r="A1876" s="63"/>
    </row>
    <row r="1877" spans="1:1">
      <c r="A1877" s="63"/>
    </row>
    <row r="1878" spans="1:1">
      <c r="A1878" s="63"/>
    </row>
    <row r="1879" spans="1:1">
      <c r="A1879" s="63"/>
    </row>
    <row r="1880" spans="1:1">
      <c r="A1880" s="63"/>
    </row>
    <row r="1881" spans="1:1">
      <c r="A1881" s="63"/>
    </row>
    <row r="1882" spans="1:1">
      <c r="A1882" s="63"/>
    </row>
    <row r="1883" spans="1:1">
      <c r="A1883" s="63"/>
    </row>
    <row r="1884" spans="1:1">
      <c r="A1884" s="63"/>
    </row>
    <row r="1885" spans="1:1">
      <c r="A1885" s="63"/>
    </row>
    <row r="1886" spans="1:1">
      <c r="A1886" s="63"/>
    </row>
    <row r="1887" spans="1:1">
      <c r="A1887" s="63"/>
    </row>
    <row r="1888" spans="1:1">
      <c r="A1888" s="63"/>
    </row>
    <row r="1889" spans="1:1">
      <c r="A1889" s="63"/>
    </row>
    <row r="1890" spans="1:1">
      <c r="A1890" s="63"/>
    </row>
    <row r="1891" spans="1:1">
      <c r="A1891" s="63"/>
    </row>
    <row r="1892" spans="1:1">
      <c r="A1892" s="63"/>
    </row>
    <row r="1893" spans="1:1">
      <c r="A1893" s="63"/>
    </row>
    <row r="1894" spans="1:1">
      <c r="A1894" s="63"/>
    </row>
    <row r="1895" spans="1:1">
      <c r="A1895" s="63"/>
    </row>
    <row r="1896" spans="1:1">
      <c r="A1896" s="63"/>
    </row>
    <row r="1897" spans="1:1">
      <c r="A1897" s="63"/>
    </row>
    <row r="1898" spans="1:1">
      <c r="A1898" s="63"/>
    </row>
    <row r="1899" spans="1:1">
      <c r="A1899" s="63"/>
    </row>
    <row r="1900" spans="1:1">
      <c r="A1900" s="63"/>
    </row>
    <row r="1901" spans="1:1">
      <c r="A1901" s="63"/>
    </row>
    <row r="1902" spans="1:1">
      <c r="A1902" s="63"/>
    </row>
    <row r="1903" spans="1:1">
      <c r="A1903" s="63"/>
    </row>
    <row r="1904" spans="1:1">
      <c r="A1904" s="63"/>
    </row>
    <row r="1905" spans="1:1">
      <c r="A1905" s="63"/>
    </row>
    <row r="1906" spans="1:1">
      <c r="A1906" s="63"/>
    </row>
    <row r="1907" spans="1:1">
      <c r="A1907" s="63"/>
    </row>
    <row r="1908" spans="1:1">
      <c r="A1908" s="63"/>
    </row>
    <row r="1909" spans="1:1">
      <c r="A1909" s="63"/>
    </row>
    <row r="1910" spans="1:1">
      <c r="A1910" s="63"/>
    </row>
    <row r="1911" spans="1:1">
      <c r="A1911" s="63"/>
    </row>
    <row r="1912" spans="1:1">
      <c r="A1912" s="63"/>
    </row>
    <row r="1913" spans="1:1">
      <c r="A1913" s="63"/>
    </row>
    <row r="1914" spans="1:1">
      <c r="A1914" s="63"/>
    </row>
    <row r="1915" spans="1:1">
      <c r="A1915" s="63"/>
    </row>
    <row r="1916" spans="1:1">
      <c r="A1916" s="63"/>
    </row>
    <row r="1917" spans="1:1">
      <c r="A1917" s="63"/>
    </row>
    <row r="1918" spans="1:1">
      <c r="A1918" s="63"/>
    </row>
    <row r="1919" spans="1:1">
      <c r="A1919" s="63"/>
    </row>
    <row r="1920" spans="1:1">
      <c r="A1920" s="63"/>
    </row>
    <row r="1921" spans="1:1">
      <c r="A1921" s="63"/>
    </row>
    <row r="1922" spans="1:1">
      <c r="A1922" s="63"/>
    </row>
    <row r="1923" spans="1:1">
      <c r="A1923" s="63"/>
    </row>
    <row r="1924" spans="1:1">
      <c r="A1924" s="63"/>
    </row>
    <row r="1925" spans="1:1">
      <c r="A1925" s="63"/>
    </row>
    <row r="1926" spans="1:1">
      <c r="A1926" s="63"/>
    </row>
    <row r="1927" spans="1:1">
      <c r="A1927" s="63"/>
    </row>
    <row r="1928" spans="1:1">
      <c r="A1928" s="63"/>
    </row>
    <row r="1929" spans="1:1">
      <c r="A1929" s="63"/>
    </row>
    <row r="1930" spans="1:1">
      <c r="A1930" s="63"/>
    </row>
    <row r="1931" spans="1:1">
      <c r="A1931" s="63"/>
    </row>
    <row r="1932" spans="1:1">
      <c r="A1932" s="63"/>
    </row>
    <row r="1933" spans="1:1">
      <c r="A1933" s="63"/>
    </row>
    <row r="1934" spans="1:1">
      <c r="A1934" s="63"/>
    </row>
    <row r="1935" spans="1:1">
      <c r="A1935" s="63"/>
    </row>
    <row r="1936" spans="1:1">
      <c r="A1936" s="63"/>
    </row>
    <row r="1937" spans="1:1">
      <c r="A1937" s="63"/>
    </row>
    <row r="1938" spans="1:1">
      <c r="A1938" s="63"/>
    </row>
    <row r="1939" spans="1:1">
      <c r="A1939" s="63"/>
    </row>
    <row r="1940" spans="1:1">
      <c r="A1940" s="63"/>
    </row>
    <row r="1941" spans="1:1">
      <c r="A1941" s="63"/>
    </row>
    <row r="1942" spans="1:1">
      <c r="A1942" s="63"/>
    </row>
    <row r="1943" spans="1:1">
      <c r="A1943" s="63"/>
    </row>
    <row r="1944" spans="1:1">
      <c r="A1944" s="63"/>
    </row>
    <row r="1945" spans="1:1">
      <c r="A1945" s="63"/>
    </row>
    <row r="1946" spans="1:1">
      <c r="A1946" s="63"/>
    </row>
    <row r="1947" spans="1:1">
      <c r="A1947" s="63"/>
    </row>
    <row r="1948" spans="1:1">
      <c r="A1948" s="63"/>
    </row>
    <row r="1949" spans="1:1">
      <c r="A1949" s="63"/>
    </row>
    <row r="1950" spans="1:1">
      <c r="A1950" s="63"/>
    </row>
    <row r="1951" spans="1:1">
      <c r="A1951" s="63"/>
    </row>
    <row r="1952" spans="1:1">
      <c r="A1952" s="63"/>
    </row>
    <row r="1953" spans="1:1">
      <c r="A1953" s="63"/>
    </row>
    <row r="1954" spans="1:1">
      <c r="A1954" s="63"/>
    </row>
    <row r="1955" spans="1:1">
      <c r="A1955" s="63"/>
    </row>
    <row r="1956" spans="1:1">
      <c r="A1956" s="63"/>
    </row>
    <row r="1957" spans="1:1">
      <c r="A1957" s="63"/>
    </row>
    <row r="1958" spans="1:1">
      <c r="A1958" s="63"/>
    </row>
    <row r="1959" spans="1:1">
      <c r="A1959" s="63"/>
    </row>
    <row r="1960" spans="1:1">
      <c r="A1960" s="63"/>
    </row>
    <row r="1961" spans="1:1">
      <c r="A1961" s="63"/>
    </row>
    <row r="1962" spans="1:1">
      <c r="A1962" s="63"/>
    </row>
    <row r="1963" spans="1:1">
      <c r="A1963" s="63"/>
    </row>
    <row r="1964" spans="1:1">
      <c r="A1964" s="63"/>
    </row>
    <row r="1965" spans="1:1">
      <c r="A1965" s="63"/>
    </row>
    <row r="1966" spans="1:1">
      <c r="A1966" s="63"/>
    </row>
    <row r="1967" spans="1:1">
      <c r="A1967" s="63"/>
    </row>
    <row r="1968" spans="1:1">
      <c r="A1968" s="63"/>
    </row>
    <row r="1969" spans="1:1">
      <c r="A1969" s="63"/>
    </row>
    <row r="1970" spans="1:1">
      <c r="A1970" s="63"/>
    </row>
    <row r="1971" spans="1:1">
      <c r="A1971" s="63"/>
    </row>
    <row r="1972" spans="1:1">
      <c r="A1972" s="63"/>
    </row>
    <row r="1973" spans="1:1">
      <c r="A1973" s="63"/>
    </row>
    <row r="1974" spans="1:1">
      <c r="A1974" s="63"/>
    </row>
    <row r="1975" spans="1:1">
      <c r="A1975" s="63"/>
    </row>
    <row r="1976" spans="1:1">
      <c r="A1976" s="63"/>
    </row>
    <row r="1977" spans="1:1">
      <c r="A1977" s="63"/>
    </row>
    <row r="1978" spans="1:1">
      <c r="A1978" s="63"/>
    </row>
    <row r="1979" spans="1:1">
      <c r="A1979" s="63"/>
    </row>
    <row r="1980" spans="1:1">
      <c r="A1980" s="63"/>
    </row>
    <row r="1981" spans="1:1">
      <c r="A1981" s="63"/>
    </row>
    <row r="1982" spans="1:1">
      <c r="A1982" s="63"/>
    </row>
    <row r="1983" spans="1:1">
      <c r="A1983" s="63"/>
    </row>
    <row r="1984" spans="1:1">
      <c r="A1984" s="63"/>
    </row>
    <row r="1985" spans="1:1">
      <c r="A1985" s="63"/>
    </row>
    <row r="1986" spans="1:1">
      <c r="A1986" s="63"/>
    </row>
    <row r="1987" spans="1:1">
      <c r="A1987" s="63"/>
    </row>
    <row r="1988" spans="1:1">
      <c r="A1988" s="63"/>
    </row>
    <row r="1989" spans="1:1">
      <c r="A1989" s="63"/>
    </row>
    <row r="1990" spans="1:1">
      <c r="A1990" s="63"/>
    </row>
    <row r="1991" spans="1:1">
      <c r="A1991" s="63"/>
    </row>
    <row r="1992" spans="1:1">
      <c r="A1992" s="63"/>
    </row>
    <row r="1993" spans="1:1">
      <c r="A1993" s="63"/>
    </row>
    <row r="1994" spans="1:1">
      <c r="A1994" s="63"/>
    </row>
    <row r="1995" spans="1:1">
      <c r="A1995" s="63"/>
    </row>
    <row r="1996" spans="1:1">
      <c r="A1996" s="63"/>
    </row>
    <row r="1997" spans="1:1">
      <c r="A1997" s="63"/>
    </row>
    <row r="1998" spans="1:1">
      <c r="A1998" s="63"/>
    </row>
    <row r="1999" spans="1:1">
      <c r="A1999" s="63"/>
    </row>
    <row r="2000" spans="1:1">
      <c r="A2000" s="63"/>
    </row>
    <row r="2001" spans="1:1">
      <c r="A2001" s="63"/>
    </row>
    <row r="2002" spans="1:1">
      <c r="A2002" s="63"/>
    </row>
    <row r="2003" spans="1:1">
      <c r="A2003" s="63"/>
    </row>
    <row r="2004" spans="1:1">
      <c r="A2004" s="63"/>
    </row>
    <row r="2005" spans="1:1">
      <c r="A2005" s="63"/>
    </row>
    <row r="2006" spans="1:1">
      <c r="A2006" s="63"/>
    </row>
    <row r="2007" spans="1:1">
      <c r="A2007" s="63"/>
    </row>
    <row r="2008" spans="1:1">
      <c r="A2008" s="63"/>
    </row>
    <row r="2009" spans="1:1">
      <c r="A2009" s="63"/>
    </row>
    <row r="2010" spans="1:1">
      <c r="A2010" s="63"/>
    </row>
    <row r="2011" spans="1:1">
      <c r="A2011" s="63"/>
    </row>
    <row r="2012" spans="1:1">
      <c r="A2012" s="63"/>
    </row>
    <row r="2013" spans="1:1">
      <c r="A2013" s="63"/>
    </row>
    <row r="2014" spans="1:1">
      <c r="A2014" s="63"/>
    </row>
    <row r="2015" spans="1:1">
      <c r="A2015" s="63"/>
    </row>
    <row r="2016" spans="1:1">
      <c r="A2016" s="63"/>
    </row>
    <row r="2017" spans="1:1">
      <c r="A2017" s="63"/>
    </row>
    <row r="2018" spans="1:1">
      <c r="A2018" s="63"/>
    </row>
    <row r="2019" spans="1:1">
      <c r="A2019" s="63"/>
    </row>
    <row r="2020" spans="1:1">
      <c r="A2020" s="63"/>
    </row>
    <row r="2021" spans="1:1">
      <c r="A2021" s="63"/>
    </row>
    <row r="2022" spans="1:1">
      <c r="A2022" s="63"/>
    </row>
    <row r="2023" spans="1:1">
      <c r="A2023" s="63"/>
    </row>
    <row r="2024" spans="1:1">
      <c r="A2024" s="63"/>
    </row>
    <row r="2025" spans="1:1">
      <c r="A2025" s="63"/>
    </row>
    <row r="2026" spans="1:1">
      <c r="A2026" s="63"/>
    </row>
    <row r="2027" spans="1:1">
      <c r="A2027" s="63"/>
    </row>
    <row r="2028" spans="1:1">
      <c r="A2028" s="63"/>
    </row>
    <row r="2029" spans="1:1">
      <c r="A2029" s="63"/>
    </row>
    <row r="2030" spans="1:1">
      <c r="A2030" s="63"/>
    </row>
    <row r="2031" spans="1:1">
      <c r="A2031" s="63"/>
    </row>
    <row r="2032" spans="1:1">
      <c r="A2032" s="63"/>
    </row>
    <row r="2033" spans="1:1">
      <c r="A2033" s="63"/>
    </row>
    <row r="2034" spans="1:1">
      <c r="A2034" s="63"/>
    </row>
    <row r="2035" spans="1:1">
      <c r="A2035" s="63"/>
    </row>
    <row r="2036" spans="1:1">
      <c r="A2036" s="63"/>
    </row>
    <row r="2037" spans="1:1">
      <c r="A2037" s="63"/>
    </row>
    <row r="2038" spans="1:1">
      <c r="A2038" s="63"/>
    </row>
    <row r="2039" spans="1:1">
      <c r="A2039" s="63"/>
    </row>
    <row r="2040" spans="1:1">
      <c r="A2040" s="63"/>
    </row>
    <row r="2041" spans="1:1">
      <c r="A2041" s="63"/>
    </row>
    <row r="2042" spans="1:1">
      <c r="A2042" s="63"/>
    </row>
    <row r="2043" spans="1:1">
      <c r="A2043" s="63"/>
    </row>
    <row r="2044" spans="1:1">
      <c r="A2044" s="63"/>
    </row>
    <row r="2045" spans="1:1">
      <c r="A2045" s="63"/>
    </row>
    <row r="2046" spans="1:1">
      <c r="A2046" s="63"/>
    </row>
    <row r="2047" spans="1:1">
      <c r="A2047" s="63"/>
    </row>
    <row r="2048" spans="1:1">
      <c r="A2048" s="63"/>
    </row>
    <row r="2049" spans="1:1">
      <c r="A2049" s="63"/>
    </row>
    <row r="2050" spans="1:1">
      <c r="A2050" s="63"/>
    </row>
    <row r="2051" spans="1:1">
      <c r="A2051" s="63"/>
    </row>
    <row r="2052" spans="1:1">
      <c r="A2052" s="63"/>
    </row>
    <row r="2053" spans="1:1">
      <c r="A2053" s="63"/>
    </row>
    <row r="2054" spans="1:1">
      <c r="A2054" s="63"/>
    </row>
    <row r="2055" spans="1:1">
      <c r="A2055" s="63"/>
    </row>
    <row r="2056" spans="1:1">
      <c r="A2056" s="63"/>
    </row>
    <row r="2057" spans="1:1">
      <c r="A2057" s="63"/>
    </row>
    <row r="2058" spans="1:1">
      <c r="A2058" s="63"/>
    </row>
    <row r="2059" spans="1:1">
      <c r="A2059" s="63"/>
    </row>
    <row r="2060" spans="1:1">
      <c r="A2060" s="63"/>
    </row>
    <row r="2061" spans="1:1">
      <c r="A2061" s="63"/>
    </row>
    <row r="2062" spans="1:1">
      <c r="A2062" s="63"/>
    </row>
    <row r="2063" spans="1:1">
      <c r="A2063" s="63"/>
    </row>
    <row r="2064" spans="1:1">
      <c r="A2064" s="63"/>
    </row>
    <row r="2065" spans="1:1">
      <c r="A2065" s="63"/>
    </row>
    <row r="2066" spans="1:1">
      <c r="A2066" s="63"/>
    </row>
    <row r="2067" spans="1:1">
      <c r="A2067" s="63"/>
    </row>
    <row r="2068" spans="1:1">
      <c r="A2068" s="63"/>
    </row>
    <row r="2069" spans="1:1">
      <c r="A2069" s="63"/>
    </row>
    <row r="2070" spans="1:1">
      <c r="A2070" s="63"/>
    </row>
    <row r="2071" spans="1:1">
      <c r="A2071" s="63"/>
    </row>
    <row r="2072" spans="1:1">
      <c r="A2072" s="63"/>
    </row>
    <row r="2073" spans="1:1">
      <c r="A2073" s="63"/>
    </row>
    <row r="2074" spans="1:1">
      <c r="A2074" s="63"/>
    </row>
    <row r="2075" spans="1:1">
      <c r="A2075" s="63"/>
    </row>
    <row r="2076" spans="1:1">
      <c r="A2076" s="63"/>
    </row>
    <row r="2077" spans="1:1">
      <c r="A2077" s="63"/>
    </row>
    <row r="2078" spans="1:1">
      <c r="A2078" s="63"/>
    </row>
    <row r="2079" spans="1:1">
      <c r="A2079" s="63"/>
    </row>
    <row r="2080" spans="1:1">
      <c r="A2080" s="63"/>
    </row>
    <row r="2081" spans="1:1">
      <c r="A2081" s="63"/>
    </row>
    <row r="2082" spans="1:1">
      <c r="A2082" s="63"/>
    </row>
    <row r="2083" spans="1:1">
      <c r="A2083" s="63"/>
    </row>
    <row r="2084" spans="1:1">
      <c r="A2084" s="63"/>
    </row>
    <row r="2085" spans="1:1">
      <c r="A2085" s="63"/>
    </row>
    <row r="2086" spans="1:1">
      <c r="A2086" s="63"/>
    </row>
    <row r="2087" spans="1:1">
      <c r="A2087" s="63"/>
    </row>
    <row r="2088" spans="1:1">
      <c r="A2088" s="63"/>
    </row>
    <row r="2089" spans="1:1">
      <c r="A2089" s="63"/>
    </row>
    <row r="2090" spans="1:1">
      <c r="A2090" s="63"/>
    </row>
    <row r="2091" spans="1:1">
      <c r="A2091" s="63"/>
    </row>
    <row r="2092" spans="1:1">
      <c r="A2092" s="63"/>
    </row>
    <row r="2093" spans="1:1">
      <c r="A2093" s="63"/>
    </row>
    <row r="2094" spans="1:1">
      <c r="A2094" s="63"/>
    </row>
    <row r="2095" spans="1:1">
      <c r="A2095" s="63"/>
    </row>
    <row r="2096" spans="1:1">
      <c r="A2096" s="63"/>
    </row>
    <row r="2097" spans="1:1">
      <c r="A2097" s="63"/>
    </row>
    <row r="2098" spans="1:1">
      <c r="A2098" s="63"/>
    </row>
    <row r="2099" spans="1:1">
      <c r="A2099" s="63"/>
    </row>
    <row r="2100" spans="1:1">
      <c r="A2100" s="63"/>
    </row>
    <row r="2101" spans="1:1">
      <c r="A2101" s="63"/>
    </row>
    <row r="2102" spans="1:1">
      <c r="A2102" s="63"/>
    </row>
    <row r="2103" spans="1:1">
      <c r="A2103" s="63"/>
    </row>
    <row r="2104" spans="1:1">
      <c r="A2104" s="63"/>
    </row>
    <row r="2105" spans="1:1">
      <c r="A2105" s="63"/>
    </row>
    <row r="2106" spans="1:1">
      <c r="A2106" s="63"/>
    </row>
    <row r="2107" spans="1:1">
      <c r="A2107" s="63"/>
    </row>
    <row r="2108" spans="1:1">
      <c r="A2108" s="63"/>
    </row>
    <row r="2109" spans="1:1">
      <c r="A2109" s="63"/>
    </row>
    <row r="2110" spans="1:1">
      <c r="A2110" s="63"/>
    </row>
    <row r="2111" spans="1:1">
      <c r="A2111" s="63"/>
    </row>
    <row r="2112" spans="1:1">
      <c r="A2112" s="63"/>
    </row>
    <row r="2113" spans="1:1">
      <c r="A2113" s="63"/>
    </row>
    <row r="2114" spans="1:1">
      <c r="A2114" s="63"/>
    </row>
    <row r="2115" spans="1:1">
      <c r="A2115" s="63"/>
    </row>
    <row r="2116" spans="1:1">
      <c r="A2116" s="63"/>
    </row>
    <row r="2117" spans="1:1">
      <c r="A2117" s="63"/>
    </row>
    <row r="2118" spans="1:1">
      <c r="A2118" s="63"/>
    </row>
    <row r="2119" spans="1:1">
      <c r="A2119" s="63"/>
    </row>
    <row r="2120" spans="1:1">
      <c r="A2120" s="63"/>
    </row>
    <row r="2121" spans="1:1">
      <c r="A2121" s="63"/>
    </row>
    <row r="2122" spans="1:1">
      <c r="A2122" s="63"/>
    </row>
    <row r="2123" spans="1:1">
      <c r="A2123" s="63"/>
    </row>
    <row r="2124" spans="1:1">
      <c r="A2124" s="63"/>
    </row>
    <row r="2125" spans="1:1">
      <c r="A2125" s="63"/>
    </row>
    <row r="2126" spans="1:1">
      <c r="A2126" s="63"/>
    </row>
    <row r="2127" spans="1:1">
      <c r="A2127" s="63"/>
    </row>
    <row r="2128" spans="1:1">
      <c r="A2128" s="63"/>
    </row>
    <row r="2129" spans="1:1">
      <c r="A2129" s="63"/>
    </row>
    <row r="2130" spans="1:1">
      <c r="A2130" s="63"/>
    </row>
    <row r="2131" spans="1:1">
      <c r="A2131" s="63"/>
    </row>
    <row r="2132" spans="1:1">
      <c r="A2132" s="63"/>
    </row>
    <row r="2133" spans="1:1">
      <c r="A2133" s="63"/>
    </row>
    <row r="2134" spans="1:1">
      <c r="A2134" s="63"/>
    </row>
    <row r="2135" spans="1:1">
      <c r="A2135" s="63"/>
    </row>
    <row r="2136" spans="1:1">
      <c r="A2136" s="63"/>
    </row>
  </sheetData>
  <mergeCells count="2">
    <mergeCell ref="D9:F9"/>
    <mergeCell ref="G9:I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2136"/>
  <sheetViews>
    <sheetView workbookViewId="0">
      <selection activeCell="E11" sqref="E11"/>
    </sheetView>
  </sheetViews>
  <sheetFormatPr defaultRowHeight="15"/>
  <cols>
    <col min="1" max="1" width="10.85546875" customWidth="1"/>
    <col min="3" max="3" width="9.7109375" bestFit="1" customWidth="1"/>
    <col min="4" max="4" width="9.7109375" customWidth="1"/>
    <col min="5" max="5" width="9.42578125" bestFit="1" customWidth="1"/>
    <col min="6" max="6" width="10.5703125" customWidth="1"/>
    <col min="7" max="8" width="9.5703125" bestFit="1" customWidth="1"/>
    <col min="9" max="9" width="9.7109375" customWidth="1"/>
  </cols>
  <sheetData>
    <row r="1" spans="1:9" ht="18.75">
      <c r="A1" s="18" t="s">
        <v>228</v>
      </c>
    </row>
    <row r="3" spans="1:9" ht="15.75">
      <c r="A3" s="21" t="s">
        <v>167</v>
      </c>
    </row>
    <row r="4" spans="1:9">
      <c r="A4" t="s">
        <v>168</v>
      </c>
    </row>
    <row r="6" spans="1:9">
      <c r="C6" s="36" t="s">
        <v>165</v>
      </c>
      <c r="F6" s="63">
        <f>INDEX($A11:$A72,MATCH(0,F11:F72,0))</f>
        <v>43936</v>
      </c>
    </row>
    <row r="7" spans="1:9">
      <c r="C7" s="36" t="s">
        <v>166</v>
      </c>
      <c r="F7" s="103">
        <f>YEARFRAC(F6,DATE(YEAR(F6), 1,1))+YEAR(F6)</f>
        <v>2020.2888888888888</v>
      </c>
    </row>
    <row r="8" spans="1:9" ht="7.5" customHeight="1"/>
    <row r="9" spans="1:9">
      <c r="C9" s="47"/>
      <c r="D9" s="384" t="s">
        <v>127</v>
      </c>
      <c r="E9" s="384"/>
      <c r="F9" s="385"/>
      <c r="G9" s="383" t="s">
        <v>201</v>
      </c>
      <c r="H9" s="383"/>
      <c r="I9" s="383"/>
    </row>
    <row r="10" spans="1:9" ht="75">
      <c r="A10" s="14" t="s">
        <v>113</v>
      </c>
      <c r="B10" s="14" t="s">
        <v>114</v>
      </c>
      <c r="C10" s="67" t="s">
        <v>115</v>
      </c>
      <c r="D10" s="64" t="s">
        <v>123</v>
      </c>
      <c r="E10" s="64" t="s">
        <v>121</v>
      </c>
      <c r="F10" s="65" t="s">
        <v>117</v>
      </c>
      <c r="G10" s="111" t="s">
        <v>161</v>
      </c>
      <c r="H10" s="14" t="s">
        <v>164</v>
      </c>
      <c r="I10" s="67" t="s">
        <v>162</v>
      </c>
    </row>
    <row r="11" spans="1:9">
      <c r="A11" s="63">
        <v>42916</v>
      </c>
      <c r="B11">
        <f>IF(MONTH(A11)&gt;6, YEAR(A11)+1, YEAR(A11))</f>
        <v>2017</v>
      </c>
      <c r="C11" s="68">
        <f>(A11-DATE(B11-1,6,30))/(DATE(B11,6,30)-DATE(B11-1, 6, 30))</f>
        <v>1</v>
      </c>
      <c r="D11" s="34">
        <f>INDEX(Generic!$B$41:$G$41,1,$B11-2016)</f>
        <v>8647.8000000000011</v>
      </c>
      <c r="E11" s="34">
        <f>INDEX(Generic!$B$38:$G$38,1,$B11-2016)+INDEX(Generic!$B$42:$G$42,1,$B11-2016)+INDEX(Generic!$B$43:$G$43,1,$B11-2016)</f>
        <v>-2476.0074000000004</v>
      </c>
      <c r="F11" s="66">
        <f>MAX(0,D11+E11*$C11)</f>
        <v>6171.7926000000007</v>
      </c>
      <c r="G11" s="13">
        <f>INDEX('PF Model'!$F$245:$K$245,1,$B11-2016)</f>
        <v>9266</v>
      </c>
      <c r="H11" s="13">
        <f>INDEX('PF Model'!$G$244:$L$244,1,$B11-2016)</f>
        <v>2404.4690515033049</v>
      </c>
      <c r="I11" s="66">
        <f>MAX(0,G11+H11*$C11)</f>
        <v>11670.469051503305</v>
      </c>
    </row>
    <row r="12" spans="1:9">
      <c r="A12" s="63">
        <v>42931</v>
      </c>
      <c r="B12">
        <f t="shared" ref="B12:B72" si="0">IF(MONTH(A12)&gt;6, YEAR(A12)+1, YEAR(A12))</f>
        <v>2018</v>
      </c>
      <c r="C12" s="68">
        <f t="shared" ref="C12:C72" si="1">(A12-DATE(B12-1,6,30))/(DATE(B12,6,30)-DATE(B12-1, 6, 30))</f>
        <v>4.1095890410958902E-2</v>
      </c>
      <c r="D12" s="34">
        <f>INDEX(Generic!$B$41:$G$41,1,$B12-2016)</f>
        <v>6171.7926000000007</v>
      </c>
      <c r="E12" s="34">
        <f>INDEX(Generic!$B$38:$G$38,1,$B12-2016)+INDEX(Generic!$B$42:$G$42,1,$B12-2016)+INDEX(Generic!$B$43:$G$43,1,$B12-2016)</f>
        <v>-2961.2767878600007</v>
      </c>
      <c r="F12" s="66">
        <f t="shared" ref="F12:F72" si="2">MAX(0,D12+E12*$C12)</f>
        <v>6050.0962936495898</v>
      </c>
      <c r="G12" s="13">
        <f>INDEX('PF Model'!$F$245:$K$245,1,$B12-2016)</f>
        <v>11670.469051503305</v>
      </c>
      <c r="H12" s="13">
        <f>INDEX('PF Model'!$G$244:$L$244,1,$B12-2016)</f>
        <v>1135.2065290760142</v>
      </c>
      <c r="I12" s="66">
        <f t="shared" ref="I12:I72" si="3">MAX(0,G12+H12*$C12)</f>
        <v>11717.121374616017</v>
      </c>
    </row>
    <row r="13" spans="1:9">
      <c r="A13" s="63">
        <v>42962</v>
      </c>
      <c r="B13">
        <f t="shared" si="0"/>
        <v>2018</v>
      </c>
      <c r="C13" s="68">
        <f t="shared" si="1"/>
        <v>0.12602739726027398</v>
      </c>
      <c r="D13" s="34">
        <f>INDEX(Generic!$B$41:$G$41,1,$B13-2016)</f>
        <v>6171.7926000000007</v>
      </c>
      <c r="E13" s="34">
        <f>INDEX(Generic!$B$38:$G$38,1,$B13-2016)+INDEX(Generic!$B$42:$G$42,1,$B13-2016)+INDEX(Generic!$B$43:$G$43,1,$B13-2016)</f>
        <v>-2961.2767878600007</v>
      </c>
      <c r="F13" s="66">
        <f t="shared" si="2"/>
        <v>5798.5905938587402</v>
      </c>
      <c r="G13" s="13">
        <f>INDEX('PF Model'!$F$245:$K$245,1,$B13-2016)</f>
        <v>11670.469051503305</v>
      </c>
      <c r="H13" s="13">
        <f>INDEX('PF Model'!$G$244:$L$244,1,$B13-2016)</f>
        <v>1135.2065290760142</v>
      </c>
      <c r="I13" s="66">
        <f t="shared" si="3"/>
        <v>11813.536175715624</v>
      </c>
    </row>
    <row r="14" spans="1:9">
      <c r="A14" s="63">
        <v>42993</v>
      </c>
      <c r="B14">
        <f t="shared" si="0"/>
        <v>2018</v>
      </c>
      <c r="C14" s="68">
        <f t="shared" si="1"/>
        <v>0.21095890410958903</v>
      </c>
      <c r="D14" s="34">
        <f>INDEX(Generic!$B$41:$G$41,1,$B14-2016)</f>
        <v>6171.7926000000007</v>
      </c>
      <c r="E14" s="34">
        <f>INDEX(Generic!$B$38:$G$38,1,$B14-2016)+INDEX(Generic!$B$42:$G$42,1,$B14-2016)+INDEX(Generic!$B$43:$G$43,1,$B14-2016)</f>
        <v>-2961.2767878600007</v>
      </c>
      <c r="F14" s="66">
        <f t="shared" si="2"/>
        <v>5547.0848940678907</v>
      </c>
      <c r="G14" s="13">
        <f>INDEX('PF Model'!$F$245:$K$245,1,$B14-2016)</f>
        <v>11670.469051503305</v>
      </c>
      <c r="H14" s="13">
        <f>INDEX('PF Model'!$G$244:$L$244,1,$B14-2016)</f>
        <v>1135.2065290760142</v>
      </c>
      <c r="I14" s="66">
        <f t="shared" si="3"/>
        <v>11909.950976815231</v>
      </c>
    </row>
    <row r="15" spans="1:9">
      <c r="A15" s="63">
        <v>43023</v>
      </c>
      <c r="B15">
        <f t="shared" si="0"/>
        <v>2018</v>
      </c>
      <c r="C15" s="68">
        <f t="shared" si="1"/>
        <v>0.29315068493150687</v>
      </c>
      <c r="D15" s="34">
        <f>INDEX(Generic!$B$41:$G$41,1,$B15-2016)</f>
        <v>6171.7926000000007</v>
      </c>
      <c r="E15" s="34">
        <f>INDEX(Generic!$B$38:$G$38,1,$B15-2016)+INDEX(Generic!$B$42:$G$42,1,$B15-2016)+INDEX(Generic!$B$43:$G$43,1,$B15-2016)</f>
        <v>-2961.2767878600007</v>
      </c>
      <c r="F15" s="66">
        <f t="shared" si="2"/>
        <v>5303.692281367069</v>
      </c>
      <c r="G15" s="13">
        <f>INDEX('PF Model'!$F$245:$K$245,1,$B15-2016)</f>
        <v>11670.469051503305</v>
      </c>
      <c r="H15" s="13">
        <f>INDEX('PF Model'!$G$244:$L$244,1,$B15-2016)</f>
        <v>1135.2065290760142</v>
      </c>
      <c r="I15" s="66">
        <f t="shared" si="3"/>
        <v>12003.255623040657</v>
      </c>
    </row>
    <row r="16" spans="1:9">
      <c r="A16" s="63">
        <v>43054</v>
      </c>
      <c r="B16">
        <f t="shared" si="0"/>
        <v>2018</v>
      </c>
      <c r="C16" s="68">
        <f t="shared" si="1"/>
        <v>0.37808219178082192</v>
      </c>
      <c r="D16" s="34">
        <f>INDEX(Generic!$B$41:$G$41,1,$B16-2016)</f>
        <v>6171.7926000000007</v>
      </c>
      <c r="E16" s="34">
        <f>INDEX(Generic!$B$38:$G$38,1,$B16-2016)+INDEX(Generic!$B$42:$G$42,1,$B16-2016)+INDEX(Generic!$B$43:$G$43,1,$B16-2016)</f>
        <v>-2961.2767878600007</v>
      </c>
      <c r="F16" s="66">
        <f t="shared" si="2"/>
        <v>5052.1865815762194</v>
      </c>
      <c r="G16" s="13">
        <f>INDEX('PF Model'!$F$245:$K$245,1,$B16-2016)</f>
        <v>11670.469051503305</v>
      </c>
      <c r="H16" s="13">
        <f>INDEX('PF Model'!$G$244:$L$244,1,$B16-2016)</f>
        <v>1135.2065290760142</v>
      </c>
      <c r="I16" s="66">
        <f t="shared" si="3"/>
        <v>12099.670424140264</v>
      </c>
    </row>
    <row r="17" spans="1:9">
      <c r="A17" s="63">
        <v>43084</v>
      </c>
      <c r="B17">
        <f t="shared" si="0"/>
        <v>2018</v>
      </c>
      <c r="C17" s="68">
        <f t="shared" si="1"/>
        <v>0.46027397260273972</v>
      </c>
      <c r="D17" s="34">
        <f>INDEX(Generic!$B$41:$G$41,1,$B17-2016)</f>
        <v>6171.7926000000007</v>
      </c>
      <c r="E17" s="34">
        <f>INDEX(Generic!$B$38:$G$38,1,$B17-2016)+INDEX(Generic!$B$42:$G$42,1,$B17-2016)+INDEX(Generic!$B$43:$G$43,1,$B17-2016)</f>
        <v>-2961.2767878600007</v>
      </c>
      <c r="F17" s="66">
        <f t="shared" si="2"/>
        <v>4808.7939688753977</v>
      </c>
      <c r="G17" s="13">
        <f>INDEX('PF Model'!$F$245:$K$245,1,$B17-2016)</f>
        <v>11670.469051503305</v>
      </c>
      <c r="H17" s="13">
        <f>INDEX('PF Model'!$G$244:$L$244,1,$B17-2016)</f>
        <v>1135.2065290760142</v>
      </c>
      <c r="I17" s="66">
        <f t="shared" si="3"/>
        <v>12192.97507036569</v>
      </c>
    </row>
    <row r="18" spans="1:9">
      <c r="A18" s="63">
        <v>43115</v>
      </c>
      <c r="B18">
        <f t="shared" si="0"/>
        <v>2018</v>
      </c>
      <c r="C18" s="68">
        <f t="shared" si="1"/>
        <v>0.54520547945205478</v>
      </c>
      <c r="D18" s="34">
        <f>INDEX(Generic!$B$41:$G$41,1,$B18-2016)</f>
        <v>6171.7926000000007</v>
      </c>
      <c r="E18" s="34">
        <f>INDEX(Generic!$B$38:$G$38,1,$B18-2016)+INDEX(Generic!$B$42:$G$42,1,$B18-2016)+INDEX(Generic!$B$43:$G$43,1,$B18-2016)</f>
        <v>-2961.2767878600007</v>
      </c>
      <c r="F18" s="66">
        <f t="shared" si="2"/>
        <v>4557.2882690845481</v>
      </c>
      <c r="G18" s="13">
        <f>INDEX('PF Model'!$F$245:$K$245,1,$B18-2016)</f>
        <v>11670.469051503305</v>
      </c>
      <c r="H18" s="13">
        <f>INDEX('PF Model'!$G$244:$L$244,1,$B18-2016)</f>
        <v>1135.2065290760142</v>
      </c>
      <c r="I18" s="66">
        <f t="shared" si="3"/>
        <v>12289.389871465297</v>
      </c>
    </row>
    <row r="19" spans="1:9">
      <c r="A19" s="63">
        <v>43146</v>
      </c>
      <c r="B19">
        <f t="shared" si="0"/>
        <v>2018</v>
      </c>
      <c r="C19" s="68">
        <f t="shared" si="1"/>
        <v>0.63013698630136983</v>
      </c>
      <c r="D19" s="34">
        <f>INDEX(Generic!$B$41:$G$41,1,$B19-2016)</f>
        <v>6171.7926000000007</v>
      </c>
      <c r="E19" s="34">
        <f>INDEX(Generic!$B$38:$G$38,1,$B19-2016)+INDEX(Generic!$B$42:$G$42,1,$B19-2016)+INDEX(Generic!$B$43:$G$43,1,$B19-2016)</f>
        <v>-2961.2767878600007</v>
      </c>
      <c r="F19" s="66">
        <f t="shared" si="2"/>
        <v>4305.7825692936985</v>
      </c>
      <c r="G19" s="13">
        <f>INDEX('PF Model'!$F$245:$K$245,1,$B19-2016)</f>
        <v>11670.469051503305</v>
      </c>
      <c r="H19" s="13">
        <f>INDEX('PF Model'!$G$244:$L$244,1,$B19-2016)</f>
        <v>1135.2065290760142</v>
      </c>
      <c r="I19" s="66">
        <f t="shared" si="3"/>
        <v>12385.804672564904</v>
      </c>
    </row>
    <row r="20" spans="1:9">
      <c r="A20" s="63">
        <v>43174</v>
      </c>
      <c r="B20">
        <f t="shared" si="0"/>
        <v>2018</v>
      </c>
      <c r="C20" s="68">
        <f t="shared" si="1"/>
        <v>0.70684931506849313</v>
      </c>
      <c r="D20" s="34">
        <f>INDEX(Generic!$B$41:$G$41,1,$B20-2016)</f>
        <v>6171.7926000000007</v>
      </c>
      <c r="E20" s="34">
        <f>INDEX(Generic!$B$38:$G$38,1,$B20-2016)+INDEX(Generic!$B$42:$G$42,1,$B20-2016)+INDEX(Generic!$B$43:$G$43,1,$B20-2016)</f>
        <v>-2961.2767878600007</v>
      </c>
      <c r="F20" s="66">
        <f t="shared" si="2"/>
        <v>4078.6161307729317</v>
      </c>
      <c r="G20" s="13">
        <f>INDEX('PF Model'!$F$245:$K$245,1,$B20-2016)</f>
        <v>11670.469051503305</v>
      </c>
      <c r="H20" s="13">
        <f>INDEX('PF Model'!$G$244:$L$244,1,$B20-2016)</f>
        <v>1135.2065290760142</v>
      </c>
      <c r="I20" s="66">
        <f t="shared" si="3"/>
        <v>12472.889009041968</v>
      </c>
    </row>
    <row r="21" spans="1:9">
      <c r="A21" s="63">
        <v>43205</v>
      </c>
      <c r="B21">
        <f t="shared" si="0"/>
        <v>2018</v>
      </c>
      <c r="C21" s="68">
        <f t="shared" si="1"/>
        <v>0.79178082191780819</v>
      </c>
      <c r="D21" s="34">
        <f>INDEX(Generic!$B$41:$G$41,1,$B21-2016)</f>
        <v>6171.7926000000007</v>
      </c>
      <c r="E21" s="34">
        <f>INDEX(Generic!$B$38:$G$38,1,$B21-2016)+INDEX(Generic!$B$42:$G$42,1,$B21-2016)+INDEX(Generic!$B$43:$G$43,1,$B21-2016)</f>
        <v>-2961.2767878600007</v>
      </c>
      <c r="F21" s="66">
        <f t="shared" si="2"/>
        <v>3827.1104309820826</v>
      </c>
      <c r="G21" s="13">
        <f>INDEX('PF Model'!$F$245:$K$245,1,$B21-2016)</f>
        <v>11670.469051503305</v>
      </c>
      <c r="H21" s="13">
        <f>INDEX('PF Model'!$G$244:$L$244,1,$B21-2016)</f>
        <v>1135.2065290760142</v>
      </c>
      <c r="I21" s="66">
        <f t="shared" si="3"/>
        <v>12569.303810141573</v>
      </c>
    </row>
    <row r="22" spans="1:9">
      <c r="A22" s="63">
        <v>43235</v>
      </c>
      <c r="B22">
        <f t="shared" si="0"/>
        <v>2018</v>
      </c>
      <c r="C22" s="68">
        <f t="shared" si="1"/>
        <v>0.87397260273972599</v>
      </c>
      <c r="D22" s="34">
        <f>INDEX(Generic!$B$41:$G$41,1,$B22-2016)</f>
        <v>6171.7926000000007</v>
      </c>
      <c r="E22" s="34">
        <f>INDEX(Generic!$B$38:$G$38,1,$B22-2016)+INDEX(Generic!$B$42:$G$42,1,$B22-2016)+INDEX(Generic!$B$43:$G$43,1,$B22-2016)</f>
        <v>-2961.2767878600007</v>
      </c>
      <c r="F22" s="66">
        <f t="shared" si="2"/>
        <v>3583.7178182812604</v>
      </c>
      <c r="G22" s="13">
        <f>INDEX('PF Model'!$F$245:$K$245,1,$B22-2016)</f>
        <v>11670.469051503305</v>
      </c>
      <c r="H22" s="13">
        <f>INDEX('PF Model'!$G$244:$L$244,1,$B22-2016)</f>
        <v>1135.2065290760142</v>
      </c>
      <c r="I22" s="66">
        <f t="shared" si="3"/>
        <v>12662.608456366999</v>
      </c>
    </row>
    <row r="23" spans="1:9">
      <c r="A23" s="63">
        <v>43266</v>
      </c>
      <c r="B23">
        <f t="shared" si="0"/>
        <v>2018</v>
      </c>
      <c r="C23" s="68">
        <f t="shared" si="1"/>
        <v>0.95890410958904104</v>
      </c>
      <c r="D23" s="34">
        <f>INDEX(Generic!$B$41:$G$41,1,$B23-2016)</f>
        <v>6171.7926000000007</v>
      </c>
      <c r="E23" s="34">
        <f>INDEX(Generic!$B$38:$G$38,1,$B23-2016)+INDEX(Generic!$B$42:$G$42,1,$B23-2016)+INDEX(Generic!$B$43:$G$43,1,$B23-2016)</f>
        <v>-2961.2767878600007</v>
      </c>
      <c r="F23" s="66">
        <f t="shared" si="2"/>
        <v>3332.2121184904113</v>
      </c>
      <c r="G23" s="13">
        <f>INDEX('PF Model'!$F$245:$K$245,1,$B23-2016)</f>
        <v>11670.469051503305</v>
      </c>
      <c r="H23" s="13">
        <f>INDEX('PF Model'!$G$244:$L$244,1,$B23-2016)</f>
        <v>1135.2065290760142</v>
      </c>
      <c r="I23" s="66">
        <f t="shared" si="3"/>
        <v>12759.023257466606</v>
      </c>
    </row>
    <row r="24" spans="1:9">
      <c r="A24" s="63">
        <v>43296</v>
      </c>
      <c r="B24">
        <f t="shared" si="0"/>
        <v>2019</v>
      </c>
      <c r="C24" s="68">
        <f t="shared" si="1"/>
        <v>4.1095890410958902E-2</v>
      </c>
      <c r="D24" s="34">
        <f>INDEX(Generic!$B$41:$G$41,1,$B24-2016)</f>
        <v>3210.5158121400004</v>
      </c>
      <c r="E24" s="34">
        <f>INDEX(Generic!$B$38:$G$38,1,$B24-2016)+INDEX(Generic!$B$42:$G$42,1,$B24-2016)+INDEX(Generic!$B$43:$G$43,1,$B24-2016)</f>
        <v>-1900.4216553291537</v>
      </c>
      <c r="F24" s="66">
        <f t="shared" si="2"/>
        <v>3132.4162920579806</v>
      </c>
      <c r="G24" s="13">
        <f>INDEX('PF Model'!$F$245:$K$245,1,$B24-2016)</f>
        <v>12805.67558057932</v>
      </c>
      <c r="H24" s="13">
        <f>INDEX('PF Model'!$G$244:$L$244,1,$B24-2016)</f>
        <v>1230.3660176974172</v>
      </c>
      <c r="I24" s="66">
        <f t="shared" si="3"/>
        <v>12856.238567607981</v>
      </c>
    </row>
    <row r="25" spans="1:9">
      <c r="A25" s="63">
        <v>43327</v>
      </c>
      <c r="B25">
        <f t="shared" si="0"/>
        <v>2019</v>
      </c>
      <c r="C25" s="68">
        <f t="shared" si="1"/>
        <v>0.12602739726027398</v>
      </c>
      <c r="D25" s="34">
        <f>INDEX(Generic!$B$41:$G$41,1,$B25-2016)</f>
        <v>3210.5158121400004</v>
      </c>
      <c r="E25" s="34">
        <f>INDEX(Generic!$B$38:$G$38,1,$B25-2016)+INDEX(Generic!$B$42:$G$42,1,$B25-2016)+INDEX(Generic!$B$43:$G$43,1,$B25-2016)</f>
        <v>-1900.4216553291537</v>
      </c>
      <c r="F25" s="66">
        <f t="shared" si="2"/>
        <v>2971.0106172218057</v>
      </c>
      <c r="G25" s="13">
        <f>INDEX('PF Model'!$F$245:$K$245,1,$B25-2016)</f>
        <v>12805.67558057932</v>
      </c>
      <c r="H25" s="13">
        <f>INDEX('PF Model'!$G$244:$L$244,1,$B25-2016)</f>
        <v>1230.3660176974172</v>
      </c>
      <c r="I25" s="66">
        <f t="shared" si="3"/>
        <v>12960.735407467213</v>
      </c>
    </row>
    <row r="26" spans="1:9">
      <c r="A26" s="63">
        <v>43358</v>
      </c>
      <c r="B26">
        <f t="shared" si="0"/>
        <v>2019</v>
      </c>
      <c r="C26" s="68">
        <f t="shared" si="1"/>
        <v>0.21095890410958903</v>
      </c>
      <c r="D26" s="34">
        <f>INDEX(Generic!$B$41:$G$41,1,$B26-2016)</f>
        <v>3210.5158121400004</v>
      </c>
      <c r="E26" s="34">
        <f>INDEX(Generic!$B$38:$G$38,1,$B26-2016)+INDEX(Generic!$B$42:$G$42,1,$B26-2016)+INDEX(Generic!$B$43:$G$43,1,$B26-2016)</f>
        <v>-1900.4216553291537</v>
      </c>
      <c r="F26" s="66">
        <f t="shared" si="2"/>
        <v>2809.6049423856311</v>
      </c>
      <c r="G26" s="13">
        <f>INDEX('PF Model'!$F$245:$K$245,1,$B26-2016)</f>
        <v>12805.67558057932</v>
      </c>
      <c r="H26" s="13">
        <f>INDEX('PF Model'!$G$244:$L$244,1,$B26-2016)</f>
        <v>1230.3660176974172</v>
      </c>
      <c r="I26" s="66">
        <f t="shared" si="3"/>
        <v>13065.232247326447</v>
      </c>
    </row>
    <row r="27" spans="1:9">
      <c r="A27" s="63">
        <v>43388</v>
      </c>
      <c r="B27">
        <f t="shared" si="0"/>
        <v>2019</v>
      </c>
      <c r="C27" s="68">
        <f t="shared" si="1"/>
        <v>0.29315068493150687</v>
      </c>
      <c r="D27" s="34">
        <f>INDEX(Generic!$B$41:$G$41,1,$B27-2016)</f>
        <v>3210.5158121400004</v>
      </c>
      <c r="E27" s="34">
        <f>INDEX(Generic!$B$38:$G$38,1,$B27-2016)+INDEX(Generic!$B$42:$G$42,1,$B27-2016)+INDEX(Generic!$B$43:$G$43,1,$B27-2016)</f>
        <v>-1900.4216553291537</v>
      </c>
      <c r="F27" s="66">
        <f t="shared" si="2"/>
        <v>2653.4059022215911</v>
      </c>
      <c r="G27" s="13">
        <f>INDEX('PF Model'!$F$245:$K$245,1,$B27-2016)</f>
        <v>12805.67558057932</v>
      </c>
      <c r="H27" s="13">
        <f>INDEX('PF Model'!$G$244:$L$244,1,$B27-2016)</f>
        <v>1230.3660176974172</v>
      </c>
      <c r="I27" s="66">
        <f t="shared" si="3"/>
        <v>13166.358221383769</v>
      </c>
    </row>
    <row r="28" spans="1:9">
      <c r="A28" s="63">
        <v>43419</v>
      </c>
      <c r="B28">
        <f t="shared" si="0"/>
        <v>2019</v>
      </c>
      <c r="C28" s="68">
        <f t="shared" si="1"/>
        <v>0.37808219178082192</v>
      </c>
      <c r="D28" s="34">
        <f>INDEX(Generic!$B$41:$G$41,1,$B28-2016)</f>
        <v>3210.5158121400004</v>
      </c>
      <c r="E28" s="34">
        <f>INDEX(Generic!$B$38:$G$38,1,$B28-2016)+INDEX(Generic!$B$42:$G$42,1,$B28-2016)+INDEX(Generic!$B$43:$G$43,1,$B28-2016)</f>
        <v>-1900.4216553291537</v>
      </c>
      <c r="F28" s="66">
        <f t="shared" si="2"/>
        <v>2492.0002273854161</v>
      </c>
      <c r="G28" s="13">
        <f>INDEX('PF Model'!$F$245:$K$245,1,$B28-2016)</f>
        <v>12805.67558057932</v>
      </c>
      <c r="H28" s="13">
        <f>INDEX('PF Model'!$G$244:$L$244,1,$B28-2016)</f>
        <v>1230.3660176974172</v>
      </c>
      <c r="I28" s="66">
        <f t="shared" si="3"/>
        <v>13270.855061243001</v>
      </c>
    </row>
    <row r="29" spans="1:9">
      <c r="A29" s="63">
        <v>43449</v>
      </c>
      <c r="B29">
        <f t="shared" si="0"/>
        <v>2019</v>
      </c>
      <c r="C29" s="68">
        <f t="shared" si="1"/>
        <v>0.46027397260273972</v>
      </c>
      <c r="D29" s="34">
        <f>INDEX(Generic!$B$41:$G$41,1,$B29-2016)</f>
        <v>3210.5158121400004</v>
      </c>
      <c r="E29" s="34">
        <f>INDEX(Generic!$B$38:$G$38,1,$B29-2016)+INDEX(Generic!$B$42:$G$42,1,$B29-2016)+INDEX(Generic!$B$43:$G$43,1,$B29-2016)</f>
        <v>-1900.4216553291537</v>
      </c>
      <c r="F29" s="66">
        <f t="shared" si="2"/>
        <v>2335.8011872213765</v>
      </c>
      <c r="G29" s="13">
        <f>INDEX('PF Model'!$F$245:$K$245,1,$B29-2016)</f>
        <v>12805.67558057932</v>
      </c>
      <c r="H29" s="13">
        <f>INDEX('PF Model'!$G$244:$L$244,1,$B29-2016)</f>
        <v>1230.3660176974172</v>
      </c>
      <c r="I29" s="66">
        <f t="shared" si="3"/>
        <v>13371.981035300323</v>
      </c>
    </row>
    <row r="30" spans="1:9">
      <c r="A30" s="63">
        <v>43480</v>
      </c>
      <c r="B30">
        <f t="shared" si="0"/>
        <v>2019</v>
      </c>
      <c r="C30" s="68">
        <f t="shared" si="1"/>
        <v>0.54520547945205478</v>
      </c>
      <c r="D30" s="34">
        <f>INDEX(Generic!$B$41:$G$41,1,$B30-2016)</f>
        <v>3210.5158121400004</v>
      </c>
      <c r="E30" s="34">
        <f>INDEX(Generic!$B$38:$G$38,1,$B30-2016)+INDEX(Generic!$B$42:$G$42,1,$B30-2016)+INDEX(Generic!$B$43:$G$43,1,$B30-2016)</f>
        <v>-1900.4216553291537</v>
      </c>
      <c r="F30" s="66">
        <f t="shared" si="2"/>
        <v>2174.3955123852015</v>
      </c>
      <c r="G30" s="13">
        <f>INDEX('PF Model'!$F$245:$K$245,1,$B30-2016)</f>
        <v>12805.67558057932</v>
      </c>
      <c r="H30" s="13">
        <f>INDEX('PF Model'!$G$244:$L$244,1,$B30-2016)</f>
        <v>1230.3660176974172</v>
      </c>
      <c r="I30" s="66">
        <f t="shared" si="3"/>
        <v>13476.477875159555</v>
      </c>
    </row>
    <row r="31" spans="1:9">
      <c r="A31" s="63">
        <v>43511</v>
      </c>
      <c r="B31">
        <f t="shared" si="0"/>
        <v>2019</v>
      </c>
      <c r="C31" s="68">
        <f t="shared" si="1"/>
        <v>0.63013698630136983</v>
      </c>
      <c r="D31" s="34">
        <f>INDEX(Generic!$B$41:$G$41,1,$B31-2016)</f>
        <v>3210.5158121400004</v>
      </c>
      <c r="E31" s="34">
        <f>INDEX(Generic!$B$38:$G$38,1,$B31-2016)+INDEX(Generic!$B$42:$G$42,1,$B31-2016)+INDEX(Generic!$B$43:$G$43,1,$B31-2016)</f>
        <v>-1900.4216553291537</v>
      </c>
      <c r="F31" s="66">
        <f t="shared" si="2"/>
        <v>2012.989837549027</v>
      </c>
      <c r="G31" s="13">
        <f>INDEX('PF Model'!$F$245:$K$245,1,$B31-2016)</f>
        <v>12805.67558057932</v>
      </c>
      <c r="H31" s="13">
        <f>INDEX('PF Model'!$G$244:$L$244,1,$B31-2016)</f>
        <v>1230.3660176974172</v>
      </c>
      <c r="I31" s="66">
        <f t="shared" si="3"/>
        <v>13580.974715018789</v>
      </c>
    </row>
    <row r="32" spans="1:9">
      <c r="A32" s="63">
        <v>43539</v>
      </c>
      <c r="B32">
        <f t="shared" si="0"/>
        <v>2019</v>
      </c>
      <c r="C32" s="68">
        <f t="shared" si="1"/>
        <v>0.70684931506849313</v>
      </c>
      <c r="D32" s="34">
        <f>INDEX(Generic!$B$41:$G$41,1,$B32-2016)</f>
        <v>3210.5158121400004</v>
      </c>
      <c r="E32" s="34">
        <f>INDEX(Generic!$B$38:$G$38,1,$B32-2016)+INDEX(Generic!$B$42:$G$42,1,$B32-2016)+INDEX(Generic!$B$43:$G$43,1,$B32-2016)</f>
        <v>-1900.4216553291537</v>
      </c>
      <c r="F32" s="66">
        <f t="shared" si="2"/>
        <v>1867.2040667292563</v>
      </c>
      <c r="G32" s="13">
        <f>INDEX('PF Model'!$F$245:$K$245,1,$B32-2016)</f>
        <v>12805.67558057932</v>
      </c>
      <c r="H32" s="13">
        <f>INDEX('PF Model'!$G$244:$L$244,1,$B32-2016)</f>
        <v>1230.3660176974172</v>
      </c>
      <c r="I32" s="66">
        <f t="shared" si="3"/>
        <v>13675.358957472288</v>
      </c>
    </row>
    <row r="33" spans="1:9">
      <c r="A33" s="63">
        <v>43570</v>
      </c>
      <c r="B33">
        <f t="shared" si="0"/>
        <v>2019</v>
      </c>
      <c r="C33" s="68">
        <f t="shared" si="1"/>
        <v>0.79178082191780819</v>
      </c>
      <c r="D33" s="34">
        <f>INDEX(Generic!$B$41:$G$41,1,$B33-2016)</f>
        <v>3210.5158121400004</v>
      </c>
      <c r="E33" s="34">
        <f>INDEX(Generic!$B$38:$G$38,1,$B33-2016)+INDEX(Generic!$B$42:$G$42,1,$B33-2016)+INDEX(Generic!$B$43:$G$43,1,$B33-2016)</f>
        <v>-1900.4216553291537</v>
      </c>
      <c r="F33" s="66">
        <f t="shared" si="2"/>
        <v>1705.7983918930815</v>
      </c>
      <c r="G33" s="13">
        <f>INDEX('PF Model'!$F$245:$K$245,1,$B33-2016)</f>
        <v>12805.67558057932</v>
      </c>
      <c r="H33" s="13">
        <f>INDEX('PF Model'!$G$244:$L$244,1,$B33-2016)</f>
        <v>1230.3660176974172</v>
      </c>
      <c r="I33" s="66">
        <f t="shared" si="3"/>
        <v>13779.855797331522</v>
      </c>
    </row>
    <row r="34" spans="1:9">
      <c r="A34" s="63">
        <v>43600</v>
      </c>
      <c r="B34">
        <f t="shared" si="0"/>
        <v>2019</v>
      </c>
      <c r="C34" s="68">
        <f t="shared" si="1"/>
        <v>0.87397260273972599</v>
      </c>
      <c r="D34" s="34">
        <f>INDEX(Generic!$B$41:$G$41,1,$B34-2016)</f>
        <v>3210.5158121400004</v>
      </c>
      <c r="E34" s="34">
        <f>INDEX(Generic!$B$38:$G$38,1,$B34-2016)+INDEX(Generic!$B$42:$G$42,1,$B34-2016)+INDEX(Generic!$B$43:$G$43,1,$B34-2016)</f>
        <v>-1900.4216553291537</v>
      </c>
      <c r="F34" s="66">
        <f t="shared" si="2"/>
        <v>1549.5993517290415</v>
      </c>
      <c r="G34" s="13">
        <f>INDEX('PF Model'!$F$245:$K$245,1,$B34-2016)</f>
        <v>12805.67558057932</v>
      </c>
      <c r="H34" s="13">
        <f>INDEX('PF Model'!$G$244:$L$244,1,$B34-2016)</f>
        <v>1230.3660176974172</v>
      </c>
      <c r="I34" s="66">
        <f t="shared" si="3"/>
        <v>13880.981771388844</v>
      </c>
    </row>
    <row r="35" spans="1:9">
      <c r="A35" s="63">
        <v>43631</v>
      </c>
      <c r="B35">
        <f t="shared" si="0"/>
        <v>2019</v>
      </c>
      <c r="C35" s="68">
        <f t="shared" si="1"/>
        <v>0.95890410958904104</v>
      </c>
      <c r="D35" s="34">
        <f>INDEX(Generic!$B$41:$G$41,1,$B35-2016)</f>
        <v>3210.5158121400004</v>
      </c>
      <c r="E35" s="34">
        <f>INDEX(Generic!$B$38:$G$38,1,$B35-2016)+INDEX(Generic!$B$42:$G$42,1,$B35-2016)+INDEX(Generic!$B$43:$G$43,1,$B35-2016)</f>
        <v>-1900.4216553291537</v>
      </c>
      <c r="F35" s="66">
        <f t="shared" si="2"/>
        <v>1388.1936768928667</v>
      </c>
      <c r="G35" s="13">
        <f>INDEX('PF Model'!$F$245:$K$245,1,$B35-2016)</f>
        <v>12805.67558057932</v>
      </c>
      <c r="H35" s="13">
        <f>INDEX('PF Model'!$G$244:$L$244,1,$B35-2016)</f>
        <v>1230.3660176974172</v>
      </c>
      <c r="I35" s="66">
        <f t="shared" si="3"/>
        <v>13985.478611248076</v>
      </c>
    </row>
    <row r="36" spans="1:9">
      <c r="A36" s="63">
        <v>43661</v>
      </c>
      <c r="B36">
        <f t="shared" si="0"/>
        <v>2020</v>
      </c>
      <c r="C36" s="68">
        <f t="shared" si="1"/>
        <v>4.0983606557377046E-2</v>
      </c>
      <c r="D36" s="34">
        <f>INDEX(Generic!$B$41:$G$41,1,$B36-2016)</f>
        <v>1310.0941568108465</v>
      </c>
      <c r="E36" s="34">
        <f>INDEX(Generic!$B$38:$G$38,1,$B36-2016)+INDEX(Generic!$B$42:$G$42,1,$B36-2016)+INDEX(Generic!$B$43:$G$43,1,$B36-2016)</f>
        <v>-1676.7244385531667</v>
      </c>
      <c r="F36" s="66">
        <f t="shared" si="2"/>
        <v>1241.3759421160446</v>
      </c>
      <c r="G36" s="13">
        <f>INDEX('PF Model'!$F$245:$K$245,1,$B36-2016)</f>
        <v>14036.041598276737</v>
      </c>
      <c r="H36" s="13">
        <f>INDEX('PF Model'!$G$244:$L$244,1,$B36-2016)</f>
        <v>983.08971851919637</v>
      </c>
      <c r="I36" s="66">
        <f t="shared" si="3"/>
        <v>14076.33216051113</v>
      </c>
    </row>
    <row r="37" spans="1:9">
      <c r="A37" s="63">
        <v>43692</v>
      </c>
      <c r="B37">
        <f t="shared" si="0"/>
        <v>2020</v>
      </c>
      <c r="C37" s="68">
        <f t="shared" si="1"/>
        <v>0.12568306010928962</v>
      </c>
      <c r="D37" s="34">
        <f>INDEX(Generic!$B$41:$G$41,1,$B37-2016)</f>
        <v>1310.0941568108465</v>
      </c>
      <c r="E37" s="34">
        <f>INDEX(Generic!$B$38:$G$38,1,$B37-2016)+INDEX(Generic!$B$42:$G$42,1,$B37-2016)+INDEX(Generic!$B$43:$G$43,1,$B37-2016)</f>
        <v>-1676.7244385531667</v>
      </c>
      <c r="F37" s="66">
        <f t="shared" si="2"/>
        <v>1099.3582984134539</v>
      </c>
      <c r="G37" s="13">
        <f>INDEX('PF Model'!$F$245:$K$245,1,$B37-2016)</f>
        <v>14036.041598276737</v>
      </c>
      <c r="H37" s="13">
        <f>INDEX('PF Model'!$G$244:$L$244,1,$B37-2016)</f>
        <v>983.08971851919637</v>
      </c>
      <c r="I37" s="66">
        <f t="shared" si="3"/>
        <v>14159.599322462211</v>
      </c>
    </row>
    <row r="38" spans="1:9">
      <c r="A38" s="63">
        <v>43723</v>
      </c>
      <c r="B38">
        <f t="shared" si="0"/>
        <v>2020</v>
      </c>
      <c r="C38" s="68">
        <f t="shared" si="1"/>
        <v>0.2103825136612022</v>
      </c>
      <c r="D38" s="34">
        <f>INDEX(Generic!$B$41:$G$41,1,$B38-2016)</f>
        <v>1310.0941568108465</v>
      </c>
      <c r="E38" s="34">
        <f>INDEX(Generic!$B$38:$G$38,1,$B38-2016)+INDEX(Generic!$B$42:$G$42,1,$B38-2016)+INDEX(Generic!$B$43:$G$43,1,$B38-2016)</f>
        <v>-1676.7244385531667</v>
      </c>
      <c r="F38" s="66">
        <f t="shared" si="2"/>
        <v>957.3406547108633</v>
      </c>
      <c r="G38" s="13">
        <f>INDEX('PF Model'!$F$245:$K$245,1,$B38-2016)</f>
        <v>14036.041598276737</v>
      </c>
      <c r="H38" s="13">
        <f>INDEX('PF Model'!$G$244:$L$244,1,$B38-2016)</f>
        <v>983.08971851919637</v>
      </c>
      <c r="I38" s="66">
        <f t="shared" si="3"/>
        <v>14242.866484413289</v>
      </c>
    </row>
    <row r="39" spans="1:9">
      <c r="A39" s="63">
        <v>43753</v>
      </c>
      <c r="B39">
        <f t="shared" si="0"/>
        <v>2020</v>
      </c>
      <c r="C39" s="68">
        <f t="shared" si="1"/>
        <v>0.29234972677595628</v>
      </c>
      <c r="D39" s="34">
        <f>INDEX(Generic!$B$41:$G$41,1,$B39-2016)</f>
        <v>1310.0941568108465</v>
      </c>
      <c r="E39" s="34">
        <f>INDEX(Generic!$B$38:$G$38,1,$B39-2016)+INDEX(Generic!$B$42:$G$42,1,$B39-2016)+INDEX(Generic!$B$43:$G$43,1,$B39-2016)</f>
        <v>-1676.7244385531667</v>
      </c>
      <c r="F39" s="66">
        <f t="shared" si="2"/>
        <v>819.90422532125945</v>
      </c>
      <c r="G39" s="13">
        <f>INDEX('PF Model'!$F$245:$K$245,1,$B39-2016)</f>
        <v>14036.041598276737</v>
      </c>
      <c r="H39" s="13">
        <f>INDEX('PF Model'!$G$244:$L$244,1,$B39-2016)</f>
        <v>983.08971851919637</v>
      </c>
      <c r="I39" s="66">
        <f t="shared" si="3"/>
        <v>14323.447608882076</v>
      </c>
    </row>
    <row r="40" spans="1:9">
      <c r="A40" s="63">
        <v>43784</v>
      </c>
      <c r="B40">
        <f t="shared" si="0"/>
        <v>2020</v>
      </c>
      <c r="C40" s="68">
        <f t="shared" si="1"/>
        <v>0.37704918032786883</v>
      </c>
      <c r="D40" s="34">
        <f>INDEX(Generic!$B$41:$G$41,1,$B40-2016)</f>
        <v>1310.0941568108465</v>
      </c>
      <c r="E40" s="34">
        <f>INDEX(Generic!$B$38:$G$38,1,$B40-2016)+INDEX(Generic!$B$42:$G$42,1,$B40-2016)+INDEX(Generic!$B$43:$G$43,1,$B40-2016)</f>
        <v>-1676.7244385531667</v>
      </c>
      <c r="F40" s="66">
        <f t="shared" si="2"/>
        <v>677.88658161866886</v>
      </c>
      <c r="G40" s="13">
        <f>INDEX('PF Model'!$F$245:$K$245,1,$B40-2016)</f>
        <v>14036.041598276737</v>
      </c>
      <c r="H40" s="13">
        <f>INDEX('PF Model'!$G$244:$L$244,1,$B40-2016)</f>
        <v>983.08971851919637</v>
      </c>
      <c r="I40" s="66">
        <f t="shared" si="3"/>
        <v>14406.714770833156</v>
      </c>
    </row>
    <row r="41" spans="1:9">
      <c r="A41" s="63">
        <v>43814</v>
      </c>
      <c r="B41">
        <f t="shared" si="0"/>
        <v>2020</v>
      </c>
      <c r="C41" s="68">
        <f t="shared" si="1"/>
        <v>0.45901639344262296</v>
      </c>
      <c r="D41" s="34">
        <f>INDEX(Generic!$B$41:$G$41,1,$B41-2016)</f>
        <v>1310.0941568108465</v>
      </c>
      <c r="E41" s="34">
        <f>INDEX(Generic!$B$38:$G$38,1,$B41-2016)+INDEX(Generic!$B$42:$G$42,1,$B41-2016)+INDEX(Generic!$B$43:$G$43,1,$B41-2016)</f>
        <v>-1676.7244385531667</v>
      </c>
      <c r="F41" s="66">
        <f t="shared" si="2"/>
        <v>540.450152229065</v>
      </c>
      <c r="G41" s="13">
        <f>INDEX('PF Model'!$F$245:$K$245,1,$B41-2016)</f>
        <v>14036.041598276737</v>
      </c>
      <c r="H41" s="13">
        <f>INDEX('PF Model'!$G$244:$L$244,1,$B41-2016)</f>
        <v>983.08971851919637</v>
      </c>
      <c r="I41" s="66">
        <f t="shared" si="3"/>
        <v>14487.295895301942</v>
      </c>
    </row>
    <row r="42" spans="1:9">
      <c r="A42" s="63">
        <v>43845</v>
      </c>
      <c r="B42">
        <f t="shared" si="0"/>
        <v>2020</v>
      </c>
      <c r="C42" s="68">
        <f t="shared" si="1"/>
        <v>0.54371584699453557</v>
      </c>
      <c r="D42" s="34">
        <f>INDEX(Generic!$B$41:$G$41,1,$B42-2016)</f>
        <v>1310.0941568108465</v>
      </c>
      <c r="E42" s="34">
        <f>INDEX(Generic!$B$38:$G$38,1,$B42-2016)+INDEX(Generic!$B$42:$G$42,1,$B42-2016)+INDEX(Generic!$B$43:$G$43,1,$B42-2016)</f>
        <v>-1676.7244385531667</v>
      </c>
      <c r="F42" s="66">
        <f t="shared" si="2"/>
        <v>398.43250852647429</v>
      </c>
      <c r="G42" s="13">
        <f>INDEX('PF Model'!$F$245:$K$245,1,$B42-2016)</f>
        <v>14036.041598276737</v>
      </c>
      <c r="H42" s="13">
        <f>INDEX('PF Model'!$G$244:$L$244,1,$B42-2016)</f>
        <v>983.08971851919637</v>
      </c>
      <c r="I42" s="66">
        <f t="shared" si="3"/>
        <v>14570.563057253021</v>
      </c>
    </row>
    <row r="43" spans="1:9">
      <c r="A43" s="63">
        <v>43876</v>
      </c>
      <c r="B43">
        <f t="shared" si="0"/>
        <v>2020</v>
      </c>
      <c r="C43" s="68">
        <f t="shared" si="1"/>
        <v>0.62841530054644812</v>
      </c>
      <c r="D43" s="34">
        <f>INDEX(Generic!$B$41:$G$41,1,$B43-2016)</f>
        <v>1310.0941568108465</v>
      </c>
      <c r="E43" s="34">
        <f>INDEX(Generic!$B$38:$G$38,1,$B43-2016)+INDEX(Generic!$B$42:$G$42,1,$B43-2016)+INDEX(Generic!$B$43:$G$43,1,$B43-2016)</f>
        <v>-1676.7244385531667</v>
      </c>
      <c r="F43" s="66">
        <f t="shared" si="2"/>
        <v>256.41486482388382</v>
      </c>
      <c r="G43" s="13">
        <f>INDEX('PF Model'!$F$245:$K$245,1,$B43-2016)</f>
        <v>14036.041598276737</v>
      </c>
      <c r="H43" s="13">
        <f>INDEX('PF Model'!$G$244:$L$244,1,$B43-2016)</f>
        <v>983.08971851919637</v>
      </c>
      <c r="I43" s="66">
        <f t="shared" si="3"/>
        <v>14653.830219204101</v>
      </c>
    </row>
    <row r="44" spans="1:9">
      <c r="A44" s="63">
        <v>43905</v>
      </c>
      <c r="B44">
        <f t="shared" si="0"/>
        <v>2020</v>
      </c>
      <c r="C44" s="68">
        <f t="shared" si="1"/>
        <v>0.70765027322404372</v>
      </c>
      <c r="D44" s="34">
        <f>INDEX(Generic!$B$41:$G$41,1,$B44-2016)</f>
        <v>1310.0941568108465</v>
      </c>
      <c r="E44" s="34">
        <f>INDEX(Generic!$B$38:$G$38,1,$B44-2016)+INDEX(Generic!$B$42:$G$42,1,$B44-2016)+INDEX(Generic!$B$43:$G$43,1,$B44-2016)</f>
        <v>-1676.7244385531667</v>
      </c>
      <c r="F44" s="66">
        <f t="shared" si="2"/>
        <v>123.5596497472668</v>
      </c>
      <c r="G44" s="13">
        <f>INDEX('PF Model'!$F$245:$K$245,1,$B44-2016)</f>
        <v>14036.041598276737</v>
      </c>
      <c r="H44" s="13">
        <f>INDEX('PF Model'!$G$244:$L$244,1,$B44-2016)</f>
        <v>983.08971851919637</v>
      </c>
      <c r="I44" s="66">
        <f t="shared" si="3"/>
        <v>14731.725306190594</v>
      </c>
    </row>
    <row r="45" spans="1:9">
      <c r="A45" s="63">
        <v>43936</v>
      </c>
      <c r="B45">
        <f t="shared" si="0"/>
        <v>2020</v>
      </c>
      <c r="C45" s="68">
        <f t="shared" si="1"/>
        <v>0.79234972677595628</v>
      </c>
      <c r="D45" s="34">
        <f>INDEX(Generic!$B$41:$G$41,1,$B45-2016)</f>
        <v>1310.0941568108465</v>
      </c>
      <c r="E45" s="34">
        <f>INDEX(Generic!$B$38:$G$38,1,$B45-2016)+INDEX(Generic!$B$42:$G$42,1,$B45-2016)+INDEX(Generic!$B$43:$G$43,1,$B45-2016)</f>
        <v>-1676.7244385531667</v>
      </c>
      <c r="F45" s="66">
        <f t="shared" si="2"/>
        <v>0</v>
      </c>
      <c r="G45" s="13">
        <f>INDEX('PF Model'!$F$245:$K$245,1,$B45-2016)</f>
        <v>14036.041598276737</v>
      </c>
      <c r="H45" s="13">
        <f>INDEX('PF Model'!$G$244:$L$244,1,$B45-2016)</f>
        <v>983.08971851919637</v>
      </c>
      <c r="I45" s="66">
        <f t="shared" si="3"/>
        <v>14814.992468141674</v>
      </c>
    </row>
    <row r="46" spans="1:9">
      <c r="A46" s="63">
        <v>43966</v>
      </c>
      <c r="B46">
        <f t="shared" si="0"/>
        <v>2020</v>
      </c>
      <c r="C46" s="68">
        <f t="shared" si="1"/>
        <v>0.87431693989071035</v>
      </c>
      <c r="D46" s="34">
        <f>INDEX(Generic!$B$41:$G$41,1,$B46-2016)</f>
        <v>1310.0941568108465</v>
      </c>
      <c r="E46" s="34">
        <f>INDEX(Generic!$B$38:$G$38,1,$B46-2016)+INDEX(Generic!$B$42:$G$42,1,$B46-2016)+INDEX(Generic!$B$43:$G$43,1,$B46-2016)</f>
        <v>-1676.7244385531667</v>
      </c>
      <c r="F46" s="66">
        <f t="shared" si="2"/>
        <v>0</v>
      </c>
      <c r="G46" s="13">
        <f>INDEX('PF Model'!$F$245:$K$245,1,$B46-2016)</f>
        <v>14036.041598276737</v>
      </c>
      <c r="H46" s="13">
        <f>INDEX('PF Model'!$G$244:$L$244,1,$B46-2016)</f>
        <v>983.08971851919637</v>
      </c>
      <c r="I46" s="66">
        <f t="shared" si="3"/>
        <v>14895.573592610461</v>
      </c>
    </row>
    <row r="47" spans="1:9">
      <c r="A47" s="63">
        <v>43997</v>
      </c>
      <c r="B47">
        <f t="shared" si="0"/>
        <v>2020</v>
      </c>
      <c r="C47" s="68">
        <f t="shared" si="1"/>
        <v>0.95901639344262291</v>
      </c>
      <c r="D47" s="34">
        <f>INDEX(Generic!$B$41:$G$41,1,$B47-2016)</f>
        <v>1310.0941568108465</v>
      </c>
      <c r="E47" s="34">
        <f>INDEX(Generic!$B$38:$G$38,1,$B47-2016)+INDEX(Generic!$B$42:$G$42,1,$B47-2016)+INDEX(Generic!$B$43:$G$43,1,$B47-2016)</f>
        <v>-1676.7244385531667</v>
      </c>
      <c r="F47" s="66">
        <f t="shared" si="2"/>
        <v>0</v>
      </c>
      <c r="G47" s="13">
        <f>INDEX('PF Model'!$F$245:$K$245,1,$B47-2016)</f>
        <v>14036.041598276737</v>
      </c>
      <c r="H47" s="13">
        <f>INDEX('PF Model'!$G$244:$L$244,1,$B47-2016)</f>
        <v>983.08971851919637</v>
      </c>
      <c r="I47" s="66">
        <f t="shared" si="3"/>
        <v>14978.840754561541</v>
      </c>
    </row>
    <row r="48" spans="1:9">
      <c r="A48" s="63">
        <v>44027</v>
      </c>
      <c r="B48">
        <f t="shared" si="0"/>
        <v>2021</v>
      </c>
      <c r="C48" s="68">
        <f t="shared" si="1"/>
        <v>4.1095890410958902E-2</v>
      </c>
      <c r="D48" s="34">
        <f>INDEX(Generic!$B$41:$G$41,1,$B48-2016)</f>
        <v>0</v>
      </c>
      <c r="E48" s="34">
        <f>INDEX(Generic!$B$38:$G$38,1,$B48-2016)+INDEX(Generic!$B$42:$G$42,1,$B48-2016)+INDEX(Generic!$B$43:$G$43,1,$B48-2016)</f>
        <v>-1535.1901349999994</v>
      </c>
      <c r="F48" s="66">
        <f t="shared" si="2"/>
        <v>0</v>
      </c>
      <c r="G48" s="13">
        <f>INDEX('PF Model'!$F$245:$K$245,1,$B48-2016)</f>
        <v>15019.131316795934</v>
      </c>
      <c r="H48" s="13">
        <f>INDEX('PF Model'!$G$244:$L$244,1,$B48-2016)</f>
        <v>-256.78700456615707</v>
      </c>
      <c r="I48" s="66">
        <f t="shared" si="3"/>
        <v>15008.578426197326</v>
      </c>
    </row>
    <row r="49" spans="1:9">
      <c r="A49" s="63">
        <v>44058</v>
      </c>
      <c r="B49">
        <f t="shared" si="0"/>
        <v>2021</v>
      </c>
      <c r="C49" s="68">
        <f t="shared" si="1"/>
        <v>0.12602739726027398</v>
      </c>
      <c r="D49" s="34">
        <f>INDEX(Generic!$B$41:$G$41,1,$B49-2016)</f>
        <v>0</v>
      </c>
      <c r="E49" s="34">
        <f>INDEX(Generic!$B$38:$G$38,1,$B49-2016)+INDEX(Generic!$B$42:$G$42,1,$B49-2016)+INDEX(Generic!$B$43:$G$43,1,$B49-2016)</f>
        <v>-1535.1901349999994</v>
      </c>
      <c r="F49" s="66">
        <f t="shared" si="2"/>
        <v>0</v>
      </c>
      <c r="G49" s="13">
        <f>INDEX('PF Model'!$F$245:$K$245,1,$B49-2016)</f>
        <v>15019.131316795934</v>
      </c>
      <c r="H49" s="13">
        <f>INDEX('PF Model'!$G$244:$L$244,1,$B49-2016)</f>
        <v>-256.78700456615707</v>
      </c>
      <c r="I49" s="66">
        <f t="shared" si="3"/>
        <v>14986.769118960199</v>
      </c>
    </row>
    <row r="50" spans="1:9">
      <c r="A50" s="63">
        <v>44089</v>
      </c>
      <c r="B50">
        <f t="shared" si="0"/>
        <v>2021</v>
      </c>
      <c r="C50" s="68">
        <f t="shared" si="1"/>
        <v>0.21095890410958903</v>
      </c>
      <c r="D50" s="34">
        <f>INDEX(Generic!$B$41:$G$41,1,$B50-2016)</f>
        <v>0</v>
      </c>
      <c r="E50" s="34">
        <f>INDEX(Generic!$B$38:$G$38,1,$B50-2016)+INDEX(Generic!$B$42:$G$42,1,$B50-2016)+INDEX(Generic!$B$43:$G$43,1,$B50-2016)</f>
        <v>-1535.1901349999994</v>
      </c>
      <c r="F50" s="66">
        <f t="shared" si="2"/>
        <v>0</v>
      </c>
      <c r="G50" s="13">
        <f>INDEX('PF Model'!$F$245:$K$245,1,$B50-2016)</f>
        <v>15019.131316795934</v>
      </c>
      <c r="H50" s="13">
        <f>INDEX('PF Model'!$G$244:$L$244,1,$B50-2016)</f>
        <v>-256.78700456615707</v>
      </c>
      <c r="I50" s="66">
        <f t="shared" si="3"/>
        <v>14964.959811723074</v>
      </c>
    </row>
    <row r="51" spans="1:9">
      <c r="A51" s="63">
        <v>44119</v>
      </c>
      <c r="B51">
        <f t="shared" si="0"/>
        <v>2021</v>
      </c>
      <c r="C51" s="68">
        <f t="shared" si="1"/>
        <v>0.29315068493150687</v>
      </c>
      <c r="D51" s="34">
        <f>INDEX(Generic!$B$41:$G$41,1,$B51-2016)</f>
        <v>0</v>
      </c>
      <c r="E51" s="34">
        <f>INDEX(Generic!$B$38:$G$38,1,$B51-2016)+INDEX(Generic!$B$42:$G$42,1,$B51-2016)+INDEX(Generic!$B$43:$G$43,1,$B51-2016)</f>
        <v>-1535.1901349999994</v>
      </c>
      <c r="F51" s="66">
        <f t="shared" si="2"/>
        <v>0</v>
      </c>
      <c r="G51" s="13">
        <f>INDEX('PF Model'!$F$245:$K$245,1,$B51-2016)</f>
        <v>15019.131316795934</v>
      </c>
      <c r="H51" s="13">
        <f>INDEX('PF Model'!$G$244:$L$244,1,$B51-2016)</f>
        <v>-256.78700456615707</v>
      </c>
      <c r="I51" s="66">
        <f t="shared" si="3"/>
        <v>14943.854030525856</v>
      </c>
    </row>
    <row r="52" spans="1:9">
      <c r="A52" s="63">
        <v>44150</v>
      </c>
      <c r="B52">
        <f t="shared" si="0"/>
        <v>2021</v>
      </c>
      <c r="C52" s="68">
        <f t="shared" si="1"/>
        <v>0.37808219178082192</v>
      </c>
      <c r="D52" s="34">
        <f>INDEX(Generic!$B$41:$G$41,1,$B52-2016)</f>
        <v>0</v>
      </c>
      <c r="E52" s="34">
        <f>INDEX(Generic!$B$38:$G$38,1,$B52-2016)+INDEX(Generic!$B$42:$G$42,1,$B52-2016)+INDEX(Generic!$B$43:$G$43,1,$B52-2016)</f>
        <v>-1535.1901349999994</v>
      </c>
      <c r="F52" s="66">
        <f t="shared" si="2"/>
        <v>0</v>
      </c>
      <c r="G52" s="13">
        <f>INDEX('PF Model'!$F$245:$K$245,1,$B52-2016)</f>
        <v>15019.131316795934</v>
      </c>
      <c r="H52" s="13">
        <f>INDEX('PF Model'!$G$244:$L$244,1,$B52-2016)</f>
        <v>-256.78700456615707</v>
      </c>
      <c r="I52" s="66">
        <f t="shared" si="3"/>
        <v>14922.044723288729</v>
      </c>
    </row>
    <row r="53" spans="1:9">
      <c r="A53" s="63">
        <v>44180</v>
      </c>
      <c r="B53">
        <f t="shared" si="0"/>
        <v>2021</v>
      </c>
      <c r="C53" s="68">
        <f t="shared" si="1"/>
        <v>0.46027397260273972</v>
      </c>
      <c r="D53" s="34">
        <f>INDEX(Generic!$B$41:$G$41,1,$B53-2016)</f>
        <v>0</v>
      </c>
      <c r="E53" s="34">
        <f>INDEX(Generic!$B$38:$G$38,1,$B53-2016)+INDEX(Generic!$B$42:$G$42,1,$B53-2016)+INDEX(Generic!$B$43:$G$43,1,$B53-2016)</f>
        <v>-1535.1901349999994</v>
      </c>
      <c r="F53" s="66">
        <f t="shared" si="2"/>
        <v>0</v>
      </c>
      <c r="G53" s="13">
        <f>INDEX('PF Model'!$F$245:$K$245,1,$B53-2016)</f>
        <v>15019.131316795934</v>
      </c>
      <c r="H53" s="13">
        <f>INDEX('PF Model'!$G$244:$L$244,1,$B53-2016)</f>
        <v>-256.78700456615707</v>
      </c>
      <c r="I53" s="66">
        <f t="shared" si="3"/>
        <v>14900.93894209151</v>
      </c>
    </row>
    <row r="54" spans="1:9">
      <c r="A54" s="63">
        <v>44211</v>
      </c>
      <c r="B54">
        <f t="shared" si="0"/>
        <v>2021</v>
      </c>
      <c r="C54" s="68">
        <f t="shared" si="1"/>
        <v>0.54520547945205478</v>
      </c>
      <c r="D54" s="34">
        <f>INDEX(Generic!$B$41:$G$41,1,$B54-2016)</f>
        <v>0</v>
      </c>
      <c r="E54" s="34">
        <f>INDEX(Generic!$B$38:$G$38,1,$B54-2016)+INDEX(Generic!$B$42:$G$42,1,$B54-2016)+INDEX(Generic!$B$43:$G$43,1,$B54-2016)</f>
        <v>-1535.1901349999994</v>
      </c>
      <c r="F54" s="66">
        <f t="shared" si="2"/>
        <v>0</v>
      </c>
      <c r="G54" s="13">
        <f>INDEX('PF Model'!$F$245:$K$245,1,$B54-2016)</f>
        <v>15019.131316795934</v>
      </c>
      <c r="H54" s="13">
        <f>INDEX('PF Model'!$G$244:$L$244,1,$B54-2016)</f>
        <v>-256.78700456615707</v>
      </c>
      <c r="I54" s="66">
        <f t="shared" si="3"/>
        <v>14879.129634854386</v>
      </c>
    </row>
    <row r="55" spans="1:9">
      <c r="A55" s="63">
        <v>44242</v>
      </c>
      <c r="B55">
        <f t="shared" si="0"/>
        <v>2021</v>
      </c>
      <c r="C55" s="68">
        <f t="shared" si="1"/>
        <v>0.63013698630136983</v>
      </c>
      <c r="D55" s="34">
        <f>INDEX(Generic!$B$41:$G$41,1,$B55-2016)</f>
        <v>0</v>
      </c>
      <c r="E55" s="34">
        <f>INDEX(Generic!$B$38:$G$38,1,$B55-2016)+INDEX(Generic!$B$42:$G$42,1,$B55-2016)+INDEX(Generic!$B$43:$G$43,1,$B55-2016)</f>
        <v>-1535.1901349999994</v>
      </c>
      <c r="F55" s="66">
        <f t="shared" si="2"/>
        <v>0</v>
      </c>
      <c r="G55" s="13">
        <f>INDEX('PF Model'!$F$245:$K$245,1,$B55-2016)</f>
        <v>15019.131316795934</v>
      </c>
      <c r="H55" s="13">
        <f>INDEX('PF Model'!$G$244:$L$244,1,$B55-2016)</f>
        <v>-256.78700456615707</v>
      </c>
      <c r="I55" s="66">
        <f t="shared" si="3"/>
        <v>14857.320327617261</v>
      </c>
    </row>
    <row r="56" spans="1:9">
      <c r="A56" s="63">
        <v>44270</v>
      </c>
      <c r="B56">
        <f t="shared" si="0"/>
        <v>2021</v>
      </c>
      <c r="C56" s="68">
        <f t="shared" si="1"/>
        <v>0.70684931506849313</v>
      </c>
      <c r="D56" s="34">
        <f>INDEX(Generic!$B$41:$G$41,1,$B56-2016)</f>
        <v>0</v>
      </c>
      <c r="E56" s="34">
        <f>INDEX(Generic!$B$38:$G$38,1,$B56-2016)+INDEX(Generic!$B$42:$G$42,1,$B56-2016)+INDEX(Generic!$B$43:$G$43,1,$B56-2016)</f>
        <v>-1535.1901349999994</v>
      </c>
      <c r="F56" s="66">
        <f t="shared" si="2"/>
        <v>0</v>
      </c>
      <c r="G56" s="13">
        <f>INDEX('PF Model'!$F$245:$K$245,1,$B56-2016)</f>
        <v>15019.131316795934</v>
      </c>
      <c r="H56" s="13">
        <f>INDEX('PF Model'!$G$244:$L$244,1,$B56-2016)</f>
        <v>-256.78700456615707</v>
      </c>
      <c r="I56" s="66">
        <f t="shared" si="3"/>
        <v>14837.621598499856</v>
      </c>
    </row>
    <row r="57" spans="1:9">
      <c r="A57" s="63">
        <v>44301</v>
      </c>
      <c r="B57">
        <f t="shared" si="0"/>
        <v>2021</v>
      </c>
      <c r="C57" s="68">
        <f t="shared" si="1"/>
        <v>0.79178082191780819</v>
      </c>
      <c r="D57" s="34">
        <f>INDEX(Generic!$B$41:$G$41,1,$B57-2016)</f>
        <v>0</v>
      </c>
      <c r="E57" s="34">
        <f>INDEX(Generic!$B$38:$G$38,1,$B57-2016)+INDEX(Generic!$B$42:$G$42,1,$B57-2016)+INDEX(Generic!$B$43:$G$43,1,$B57-2016)</f>
        <v>-1535.1901349999994</v>
      </c>
      <c r="F57" s="66">
        <f t="shared" si="2"/>
        <v>0</v>
      </c>
      <c r="G57" s="13">
        <f>INDEX('PF Model'!$F$245:$K$245,1,$B57-2016)</f>
        <v>15019.131316795934</v>
      </c>
      <c r="H57" s="13">
        <f>INDEX('PF Model'!$G$244:$L$244,1,$B57-2016)</f>
        <v>-256.78700456615707</v>
      </c>
      <c r="I57" s="66">
        <f t="shared" si="3"/>
        <v>14815.81229126273</v>
      </c>
    </row>
    <row r="58" spans="1:9">
      <c r="A58" s="63">
        <v>44331</v>
      </c>
      <c r="B58">
        <f t="shared" si="0"/>
        <v>2021</v>
      </c>
      <c r="C58" s="68">
        <f t="shared" si="1"/>
        <v>0.87397260273972599</v>
      </c>
      <c r="D58" s="34">
        <f>INDEX(Generic!$B$41:$G$41,1,$B58-2016)</f>
        <v>0</v>
      </c>
      <c r="E58" s="34">
        <f>INDEX(Generic!$B$38:$G$38,1,$B58-2016)+INDEX(Generic!$B$42:$G$42,1,$B58-2016)+INDEX(Generic!$B$43:$G$43,1,$B58-2016)</f>
        <v>-1535.1901349999994</v>
      </c>
      <c r="F58" s="66">
        <f t="shared" si="2"/>
        <v>0</v>
      </c>
      <c r="G58" s="13">
        <f>INDEX('PF Model'!$F$245:$K$245,1,$B58-2016)</f>
        <v>15019.131316795934</v>
      </c>
      <c r="H58" s="13">
        <f>INDEX('PF Model'!$G$244:$L$244,1,$B58-2016)</f>
        <v>-256.78700456615707</v>
      </c>
      <c r="I58" s="66">
        <f t="shared" si="3"/>
        <v>14794.706510065513</v>
      </c>
    </row>
    <row r="59" spans="1:9">
      <c r="A59" s="63">
        <v>44362</v>
      </c>
      <c r="B59">
        <f t="shared" si="0"/>
        <v>2021</v>
      </c>
      <c r="C59" s="68">
        <f t="shared" si="1"/>
        <v>0.95890410958904104</v>
      </c>
      <c r="D59" s="34">
        <f>INDEX(Generic!$B$41:$G$41,1,$B59-2016)</f>
        <v>0</v>
      </c>
      <c r="E59" s="34">
        <f>INDEX(Generic!$B$38:$G$38,1,$B59-2016)+INDEX(Generic!$B$42:$G$42,1,$B59-2016)+INDEX(Generic!$B$43:$G$43,1,$B59-2016)</f>
        <v>-1535.1901349999994</v>
      </c>
      <c r="F59" s="66">
        <f t="shared" si="2"/>
        <v>0</v>
      </c>
      <c r="G59" s="13">
        <f>INDEX('PF Model'!$F$245:$K$245,1,$B59-2016)</f>
        <v>15019.131316795934</v>
      </c>
      <c r="H59" s="13">
        <f>INDEX('PF Model'!$G$244:$L$244,1,$B59-2016)</f>
        <v>-256.78700456615707</v>
      </c>
      <c r="I59" s="66">
        <f t="shared" si="3"/>
        <v>14772.897202828386</v>
      </c>
    </row>
    <row r="60" spans="1:9">
      <c r="A60" s="63">
        <v>44392</v>
      </c>
      <c r="B60">
        <f t="shared" si="0"/>
        <v>2022</v>
      </c>
      <c r="C60" s="68">
        <f t="shared" si="1"/>
        <v>4.1095890410958902E-2</v>
      </c>
      <c r="D60" s="34">
        <f>INDEX(Generic!$B$41:$G$41,1,$B60-2016)</f>
        <v>0</v>
      </c>
      <c r="E60" s="34">
        <f>INDEX(Generic!$B$38:$G$38,1,$B60-2016)+INDEX(Generic!$B$42:$G$42,1,$B60-2016)+INDEX(Generic!$B$43:$G$43,1,$B60-2016)</f>
        <v>-1382.0406282499998</v>
      </c>
      <c r="F60" s="66">
        <f t="shared" si="2"/>
        <v>0</v>
      </c>
      <c r="G60" s="13">
        <f>INDEX('PF Model'!$F$245:$K$245,1,$B60-2016)</f>
        <v>14762.344312229778</v>
      </c>
      <c r="H60" s="13">
        <f>INDEX('PF Model'!$G$244:$L$244,1,$B60-2016)</f>
        <v>-220.17466519437926</v>
      </c>
      <c r="I60" s="66">
        <f t="shared" si="3"/>
        <v>14753.29603831768</v>
      </c>
    </row>
    <row r="61" spans="1:9">
      <c r="A61" s="63">
        <v>44423</v>
      </c>
      <c r="B61">
        <f t="shared" si="0"/>
        <v>2022</v>
      </c>
      <c r="C61" s="68">
        <f t="shared" si="1"/>
        <v>0.12602739726027398</v>
      </c>
      <c r="D61" s="34">
        <f>INDEX(Generic!$B$41:$G$41,1,$B61-2016)</f>
        <v>0</v>
      </c>
      <c r="E61" s="34">
        <f>INDEX(Generic!$B$38:$G$38,1,$B61-2016)+INDEX(Generic!$B$42:$G$42,1,$B61-2016)+INDEX(Generic!$B$43:$G$43,1,$B61-2016)</f>
        <v>-1382.0406282499998</v>
      </c>
      <c r="F61" s="66">
        <f t="shared" si="2"/>
        <v>0</v>
      </c>
      <c r="G61" s="13">
        <f>INDEX('PF Model'!$F$245:$K$245,1,$B61-2016)</f>
        <v>14762.344312229778</v>
      </c>
      <c r="H61" s="13">
        <f>INDEX('PF Model'!$G$244:$L$244,1,$B61-2016)</f>
        <v>-220.17466519437926</v>
      </c>
      <c r="I61" s="66">
        <f t="shared" si="3"/>
        <v>14734.596272232679</v>
      </c>
    </row>
    <row r="62" spans="1:9">
      <c r="A62" s="63">
        <v>44454</v>
      </c>
      <c r="B62">
        <f t="shared" si="0"/>
        <v>2022</v>
      </c>
      <c r="C62" s="68">
        <f t="shared" si="1"/>
        <v>0.21095890410958903</v>
      </c>
      <c r="D62" s="34">
        <f>INDEX(Generic!$B$41:$G$41,1,$B62-2016)</f>
        <v>0</v>
      </c>
      <c r="E62" s="34">
        <f>INDEX(Generic!$B$38:$G$38,1,$B62-2016)+INDEX(Generic!$B$42:$G$42,1,$B62-2016)+INDEX(Generic!$B$43:$G$43,1,$B62-2016)</f>
        <v>-1382.0406282499998</v>
      </c>
      <c r="F62" s="66">
        <f t="shared" si="2"/>
        <v>0</v>
      </c>
      <c r="G62" s="13">
        <f>INDEX('PF Model'!$F$245:$K$245,1,$B62-2016)</f>
        <v>14762.344312229778</v>
      </c>
      <c r="H62" s="13">
        <f>INDEX('PF Model'!$G$244:$L$244,1,$B62-2016)</f>
        <v>-220.17466519437926</v>
      </c>
      <c r="I62" s="66">
        <f t="shared" si="3"/>
        <v>14715.896506147676</v>
      </c>
    </row>
    <row r="63" spans="1:9">
      <c r="A63" s="63">
        <v>44484</v>
      </c>
      <c r="B63">
        <f t="shared" si="0"/>
        <v>2022</v>
      </c>
      <c r="C63" s="68">
        <f t="shared" si="1"/>
        <v>0.29315068493150687</v>
      </c>
      <c r="D63" s="34">
        <f>INDEX(Generic!$B$41:$G$41,1,$B63-2016)</f>
        <v>0</v>
      </c>
      <c r="E63" s="34">
        <f>INDEX(Generic!$B$38:$G$38,1,$B63-2016)+INDEX(Generic!$B$42:$G$42,1,$B63-2016)+INDEX(Generic!$B$43:$G$43,1,$B63-2016)</f>
        <v>-1382.0406282499998</v>
      </c>
      <c r="F63" s="66">
        <f t="shared" si="2"/>
        <v>0</v>
      </c>
      <c r="G63" s="13">
        <f>INDEX('PF Model'!$F$245:$K$245,1,$B63-2016)</f>
        <v>14762.344312229778</v>
      </c>
      <c r="H63" s="13">
        <f>INDEX('PF Model'!$G$244:$L$244,1,$B63-2016)</f>
        <v>-220.17466519437926</v>
      </c>
      <c r="I63" s="66">
        <f t="shared" si="3"/>
        <v>14697.79995832348</v>
      </c>
    </row>
    <row r="64" spans="1:9">
      <c r="A64" s="63">
        <v>44515</v>
      </c>
      <c r="B64">
        <f t="shared" si="0"/>
        <v>2022</v>
      </c>
      <c r="C64" s="68">
        <f t="shared" si="1"/>
        <v>0.37808219178082192</v>
      </c>
      <c r="D64" s="34">
        <f>INDEX(Generic!$B$41:$G$41,1,$B64-2016)</f>
        <v>0</v>
      </c>
      <c r="E64" s="34">
        <f>INDEX(Generic!$B$38:$G$38,1,$B64-2016)+INDEX(Generic!$B$42:$G$42,1,$B64-2016)+INDEX(Generic!$B$43:$G$43,1,$B64-2016)</f>
        <v>-1382.0406282499998</v>
      </c>
      <c r="F64" s="66">
        <f t="shared" si="2"/>
        <v>0</v>
      </c>
      <c r="G64" s="13">
        <f>INDEX('PF Model'!$F$245:$K$245,1,$B64-2016)</f>
        <v>14762.344312229778</v>
      </c>
      <c r="H64" s="13">
        <f>INDEX('PF Model'!$G$244:$L$244,1,$B64-2016)</f>
        <v>-220.17466519437926</v>
      </c>
      <c r="I64" s="66">
        <f t="shared" si="3"/>
        <v>14679.100192238478</v>
      </c>
    </row>
    <row r="65" spans="1:10">
      <c r="A65" s="63">
        <v>44545</v>
      </c>
      <c r="B65">
        <f t="shared" si="0"/>
        <v>2022</v>
      </c>
      <c r="C65" s="68">
        <f t="shared" si="1"/>
        <v>0.46027397260273972</v>
      </c>
      <c r="D65" s="34">
        <f>INDEX(Generic!$B$41:$G$41,1,$B65-2016)</f>
        <v>0</v>
      </c>
      <c r="E65" s="34">
        <f>INDEX(Generic!$B$38:$G$38,1,$B65-2016)+INDEX(Generic!$B$42:$G$42,1,$B65-2016)+INDEX(Generic!$B$43:$G$43,1,$B65-2016)</f>
        <v>-1382.0406282499998</v>
      </c>
      <c r="F65" s="66">
        <f t="shared" si="2"/>
        <v>0</v>
      </c>
      <c r="G65" s="13">
        <f>INDEX('PF Model'!$F$245:$K$245,1,$B65-2016)</f>
        <v>14762.344312229778</v>
      </c>
      <c r="H65" s="13">
        <f>INDEX('PF Model'!$G$244:$L$244,1,$B65-2016)</f>
        <v>-220.17466519437926</v>
      </c>
      <c r="I65" s="66">
        <f t="shared" si="3"/>
        <v>14661.003644414282</v>
      </c>
    </row>
    <row r="66" spans="1:10">
      <c r="A66" s="63">
        <v>44576</v>
      </c>
      <c r="B66">
        <f t="shared" si="0"/>
        <v>2022</v>
      </c>
      <c r="C66" s="68">
        <f t="shared" si="1"/>
        <v>0.54520547945205478</v>
      </c>
      <c r="D66" s="34">
        <f>INDEX(Generic!$B$41:$G$41,1,$B66-2016)</f>
        <v>0</v>
      </c>
      <c r="E66" s="34">
        <f>INDEX(Generic!$B$38:$G$38,1,$B66-2016)+INDEX(Generic!$B$42:$G$42,1,$B66-2016)+INDEX(Generic!$B$43:$G$43,1,$B66-2016)</f>
        <v>-1382.0406282499998</v>
      </c>
      <c r="F66" s="66">
        <f t="shared" si="2"/>
        <v>0</v>
      </c>
      <c r="G66" s="13">
        <f>INDEX('PF Model'!$F$245:$K$245,1,$B66-2016)</f>
        <v>14762.344312229778</v>
      </c>
      <c r="H66" s="13">
        <f>INDEX('PF Model'!$G$244:$L$244,1,$B66-2016)</f>
        <v>-220.17466519437926</v>
      </c>
      <c r="I66" s="66">
        <f t="shared" si="3"/>
        <v>14642.303878329281</v>
      </c>
    </row>
    <row r="67" spans="1:10">
      <c r="A67" s="63">
        <v>44607</v>
      </c>
      <c r="B67">
        <f t="shared" si="0"/>
        <v>2022</v>
      </c>
      <c r="C67" s="68">
        <f t="shared" si="1"/>
        <v>0.63013698630136983</v>
      </c>
      <c r="D67" s="34">
        <f>INDEX(Generic!$B$41:$G$41,1,$B67-2016)</f>
        <v>0</v>
      </c>
      <c r="E67" s="34">
        <f>INDEX(Generic!$B$38:$G$38,1,$B67-2016)+INDEX(Generic!$B$42:$G$42,1,$B67-2016)+INDEX(Generic!$B$43:$G$43,1,$B67-2016)</f>
        <v>-1382.0406282499998</v>
      </c>
      <c r="F67" s="66">
        <f t="shared" si="2"/>
        <v>0</v>
      </c>
      <c r="G67" s="13">
        <f>INDEX('PF Model'!$F$245:$K$245,1,$B67-2016)</f>
        <v>14762.344312229778</v>
      </c>
      <c r="H67" s="13">
        <f>INDEX('PF Model'!$G$244:$L$244,1,$B67-2016)</f>
        <v>-220.17466519437926</v>
      </c>
      <c r="I67" s="66">
        <f t="shared" si="3"/>
        <v>14623.604112244278</v>
      </c>
    </row>
    <row r="68" spans="1:10">
      <c r="A68" s="63">
        <v>44635</v>
      </c>
      <c r="B68">
        <f t="shared" si="0"/>
        <v>2022</v>
      </c>
      <c r="C68" s="68">
        <f t="shared" si="1"/>
        <v>0.70684931506849313</v>
      </c>
      <c r="D68" s="34">
        <f>INDEX(Generic!$B$41:$G$41,1,$B68-2016)</f>
        <v>0</v>
      </c>
      <c r="E68" s="34">
        <f>INDEX(Generic!$B$38:$G$38,1,$B68-2016)+INDEX(Generic!$B$42:$G$42,1,$B68-2016)+INDEX(Generic!$B$43:$G$43,1,$B68-2016)</f>
        <v>-1382.0406282499998</v>
      </c>
      <c r="F68" s="66">
        <f t="shared" si="2"/>
        <v>0</v>
      </c>
      <c r="G68" s="13">
        <f>INDEX('PF Model'!$F$245:$K$245,1,$B68-2016)</f>
        <v>14762.344312229778</v>
      </c>
      <c r="H68" s="13">
        <f>INDEX('PF Model'!$G$244:$L$244,1,$B68-2016)</f>
        <v>-220.17466519437926</v>
      </c>
      <c r="I68" s="66">
        <f t="shared" si="3"/>
        <v>14606.714000941696</v>
      </c>
    </row>
    <row r="69" spans="1:10">
      <c r="A69" s="63">
        <v>44666</v>
      </c>
      <c r="B69">
        <f t="shared" si="0"/>
        <v>2022</v>
      </c>
      <c r="C69" s="68">
        <f t="shared" si="1"/>
        <v>0.79178082191780819</v>
      </c>
      <c r="D69" s="34">
        <f>INDEX(Generic!$B$41:$G$41,1,$B69-2016)</f>
        <v>0</v>
      </c>
      <c r="E69" s="34">
        <f>INDEX(Generic!$B$38:$G$38,1,$B69-2016)+INDEX(Generic!$B$42:$G$42,1,$B69-2016)+INDEX(Generic!$B$43:$G$43,1,$B69-2016)</f>
        <v>-1382.0406282499998</v>
      </c>
      <c r="F69" s="66">
        <f t="shared" si="2"/>
        <v>0</v>
      </c>
      <c r="G69" s="13">
        <f>INDEX('PF Model'!$F$245:$K$245,1,$B69-2016)</f>
        <v>14762.344312229778</v>
      </c>
      <c r="H69" s="13">
        <f>INDEX('PF Model'!$G$244:$L$244,1,$B69-2016)</f>
        <v>-220.17466519437926</v>
      </c>
      <c r="I69" s="66">
        <f t="shared" si="3"/>
        <v>14588.014234856693</v>
      </c>
    </row>
    <row r="70" spans="1:10">
      <c r="A70" s="63">
        <v>44696</v>
      </c>
      <c r="B70">
        <f t="shared" si="0"/>
        <v>2022</v>
      </c>
      <c r="C70" s="68">
        <f t="shared" si="1"/>
        <v>0.87397260273972599</v>
      </c>
      <c r="D70" s="34">
        <f>INDEX(Generic!$B$41:$G$41,1,$B70-2016)</f>
        <v>0</v>
      </c>
      <c r="E70" s="34">
        <f>INDEX(Generic!$B$38:$G$38,1,$B70-2016)+INDEX(Generic!$B$42:$G$42,1,$B70-2016)+INDEX(Generic!$B$43:$G$43,1,$B70-2016)</f>
        <v>-1382.0406282499998</v>
      </c>
      <c r="F70" s="66">
        <f t="shared" si="2"/>
        <v>0</v>
      </c>
      <c r="G70" s="13">
        <f>INDEX('PF Model'!$F$245:$K$245,1,$B70-2016)</f>
        <v>14762.344312229778</v>
      </c>
      <c r="H70" s="13">
        <f>INDEX('PF Model'!$G$244:$L$244,1,$B70-2016)</f>
        <v>-220.17466519437926</v>
      </c>
      <c r="I70" s="66">
        <f t="shared" si="3"/>
        <v>14569.917687032499</v>
      </c>
    </row>
    <row r="71" spans="1:10">
      <c r="A71" s="63">
        <v>44727</v>
      </c>
      <c r="B71">
        <f t="shared" si="0"/>
        <v>2022</v>
      </c>
      <c r="C71" s="68">
        <f t="shared" si="1"/>
        <v>0.95890410958904104</v>
      </c>
      <c r="D71" s="34">
        <f>INDEX(Generic!$B$41:$G$41,1,$B71-2016)</f>
        <v>0</v>
      </c>
      <c r="E71" s="34">
        <f>INDEX(Generic!$B$38:$G$38,1,$B71-2016)+INDEX(Generic!$B$42:$G$42,1,$B71-2016)+INDEX(Generic!$B$43:$G$43,1,$B71-2016)</f>
        <v>-1382.0406282499998</v>
      </c>
      <c r="F71" s="66">
        <f t="shared" si="2"/>
        <v>0</v>
      </c>
      <c r="G71" s="13">
        <f>INDEX('PF Model'!$F$245:$K$245,1,$B71-2016)</f>
        <v>14762.344312229778</v>
      </c>
      <c r="H71" s="13">
        <f>INDEX('PF Model'!$G$244:$L$244,1,$B71-2016)</f>
        <v>-220.17466519437926</v>
      </c>
      <c r="I71" s="66">
        <f t="shared" si="3"/>
        <v>14551.217920947496</v>
      </c>
    </row>
    <row r="72" spans="1:10">
      <c r="A72" s="63">
        <v>44742</v>
      </c>
      <c r="B72">
        <f t="shared" si="0"/>
        <v>2022</v>
      </c>
      <c r="C72" s="70">
        <f t="shared" si="1"/>
        <v>1</v>
      </c>
      <c r="D72" s="34">
        <f>INDEX(Generic!$B$41:$G$41,1,$B72-2016)</f>
        <v>0</v>
      </c>
      <c r="E72" s="34">
        <f>INDEX(Generic!$B$38:$G$38,1,$B72-2016)+INDEX(Generic!$B$42:$G$42,1,$B72-2016)+INDEX(Generic!$B$43:$G$43,1,$B72-2016)</f>
        <v>-1382.0406282499998</v>
      </c>
      <c r="F72" s="66">
        <f t="shared" si="2"/>
        <v>0</v>
      </c>
      <c r="G72" s="13">
        <f>INDEX('PF Model'!$F$245:$K$245,1,$B72-2016)</f>
        <v>14762.344312229778</v>
      </c>
      <c r="H72" s="13">
        <f>INDEX('PF Model'!$G$244:$L$244,1,$B72-2016)</f>
        <v>-220.17466519437926</v>
      </c>
      <c r="I72" s="66">
        <f t="shared" si="3"/>
        <v>14542.169647035398</v>
      </c>
    </row>
    <row r="74" spans="1:10">
      <c r="F74" s="112">
        <f>F72/-E72</f>
        <v>0</v>
      </c>
      <c r="G74" t="s">
        <v>173</v>
      </c>
      <c r="I74" s="112">
        <f>I72/-H72</f>
        <v>66.048333191273272</v>
      </c>
      <c r="J74" t="s">
        <v>173</v>
      </c>
    </row>
    <row r="75" spans="1:10">
      <c r="F75" s="63">
        <f>A72+F74*365</f>
        <v>44742</v>
      </c>
      <c r="I75" s="63">
        <f>A72+I74*365</f>
        <v>68849.64161481474</v>
      </c>
    </row>
    <row r="1838" spans="1:1">
      <c r="A1838" s="63"/>
    </row>
    <row r="1839" spans="1:1">
      <c r="A1839" s="63"/>
    </row>
    <row r="1840" spans="1:1">
      <c r="A1840" s="63"/>
    </row>
    <row r="1841" spans="1:1">
      <c r="A1841" s="63"/>
    </row>
    <row r="1842" spans="1:1">
      <c r="A1842" s="63"/>
    </row>
    <row r="1843" spans="1:1">
      <c r="A1843" s="63"/>
    </row>
    <row r="1844" spans="1:1">
      <c r="A1844" s="63"/>
    </row>
    <row r="1845" spans="1:1">
      <c r="A1845" s="63"/>
    </row>
    <row r="1846" spans="1:1">
      <c r="A1846" s="63"/>
    </row>
    <row r="1847" spans="1:1">
      <c r="A1847" s="63"/>
    </row>
    <row r="1848" spans="1:1">
      <c r="A1848" s="63"/>
    </row>
    <row r="1849" spans="1:1">
      <c r="A1849" s="63"/>
    </row>
    <row r="1850" spans="1:1">
      <c r="A1850" s="63"/>
    </row>
    <row r="1851" spans="1:1">
      <c r="A1851" s="63"/>
    </row>
    <row r="1852" spans="1:1">
      <c r="A1852" s="63"/>
    </row>
    <row r="1853" spans="1:1">
      <c r="A1853" s="63"/>
    </row>
    <row r="1854" spans="1:1">
      <c r="A1854" s="63"/>
    </row>
    <row r="1855" spans="1:1">
      <c r="A1855" s="63"/>
    </row>
    <row r="1856" spans="1:1">
      <c r="A1856" s="63"/>
    </row>
    <row r="1857" spans="1:1">
      <c r="A1857" s="63"/>
    </row>
    <row r="1858" spans="1:1">
      <c r="A1858" s="63"/>
    </row>
    <row r="1859" spans="1:1">
      <c r="A1859" s="63"/>
    </row>
    <row r="1860" spans="1:1">
      <c r="A1860" s="63"/>
    </row>
    <row r="1861" spans="1:1">
      <c r="A1861" s="63"/>
    </row>
    <row r="1862" spans="1:1">
      <c r="A1862" s="63"/>
    </row>
    <row r="1863" spans="1:1">
      <c r="A1863" s="63"/>
    </row>
    <row r="1864" spans="1:1">
      <c r="A1864" s="63"/>
    </row>
    <row r="1865" spans="1:1">
      <c r="A1865" s="63"/>
    </row>
    <row r="1866" spans="1:1">
      <c r="A1866" s="63"/>
    </row>
    <row r="1867" spans="1:1">
      <c r="A1867" s="63"/>
    </row>
    <row r="1868" spans="1:1">
      <c r="A1868" s="63"/>
    </row>
    <row r="1869" spans="1:1">
      <c r="A1869" s="63"/>
    </row>
    <row r="1870" spans="1:1">
      <c r="A1870" s="63"/>
    </row>
    <row r="1871" spans="1:1">
      <c r="A1871" s="63"/>
    </row>
    <row r="1872" spans="1:1">
      <c r="A1872" s="63"/>
    </row>
    <row r="1873" spans="1:1">
      <c r="A1873" s="63"/>
    </row>
    <row r="1874" spans="1:1">
      <c r="A1874" s="63"/>
    </row>
    <row r="1875" spans="1:1">
      <c r="A1875" s="63"/>
    </row>
    <row r="1876" spans="1:1">
      <c r="A1876" s="63"/>
    </row>
    <row r="1877" spans="1:1">
      <c r="A1877" s="63"/>
    </row>
    <row r="1878" spans="1:1">
      <c r="A1878" s="63"/>
    </row>
    <row r="1879" spans="1:1">
      <c r="A1879" s="63"/>
    </row>
    <row r="1880" spans="1:1">
      <c r="A1880" s="63"/>
    </row>
    <row r="1881" spans="1:1">
      <c r="A1881" s="63"/>
    </row>
    <row r="1882" spans="1:1">
      <c r="A1882" s="63"/>
    </row>
    <row r="1883" spans="1:1">
      <c r="A1883" s="63"/>
    </row>
    <row r="1884" spans="1:1">
      <c r="A1884" s="63"/>
    </row>
    <row r="1885" spans="1:1">
      <c r="A1885" s="63"/>
    </row>
    <row r="1886" spans="1:1">
      <c r="A1886" s="63"/>
    </row>
    <row r="1887" spans="1:1">
      <c r="A1887" s="63"/>
    </row>
    <row r="1888" spans="1:1">
      <c r="A1888" s="63"/>
    </row>
    <row r="1889" spans="1:1">
      <c r="A1889" s="63"/>
    </row>
    <row r="1890" spans="1:1">
      <c r="A1890" s="63"/>
    </row>
    <row r="1891" spans="1:1">
      <c r="A1891" s="63"/>
    </row>
    <row r="1892" spans="1:1">
      <c r="A1892" s="63"/>
    </row>
    <row r="1893" spans="1:1">
      <c r="A1893" s="63"/>
    </row>
    <row r="1894" spans="1:1">
      <c r="A1894" s="63"/>
    </row>
    <row r="1895" spans="1:1">
      <c r="A1895" s="63"/>
    </row>
    <row r="1896" spans="1:1">
      <c r="A1896" s="63"/>
    </row>
    <row r="1897" spans="1:1">
      <c r="A1897" s="63"/>
    </row>
    <row r="1898" spans="1:1">
      <c r="A1898" s="63"/>
    </row>
    <row r="1899" spans="1:1">
      <c r="A1899" s="63"/>
    </row>
    <row r="1900" spans="1:1">
      <c r="A1900" s="63"/>
    </row>
    <row r="1901" spans="1:1">
      <c r="A1901" s="63"/>
    </row>
    <row r="1902" spans="1:1">
      <c r="A1902" s="63"/>
    </row>
    <row r="1903" spans="1:1">
      <c r="A1903" s="63"/>
    </row>
    <row r="1904" spans="1:1">
      <c r="A1904" s="63"/>
    </row>
    <row r="1905" spans="1:1">
      <c r="A1905" s="63"/>
    </row>
    <row r="1906" spans="1:1">
      <c r="A1906" s="63"/>
    </row>
    <row r="1907" spans="1:1">
      <c r="A1907" s="63"/>
    </row>
    <row r="1908" spans="1:1">
      <c r="A1908" s="63"/>
    </row>
    <row r="1909" spans="1:1">
      <c r="A1909" s="63"/>
    </row>
    <row r="1910" spans="1:1">
      <c r="A1910" s="63"/>
    </row>
    <row r="1911" spans="1:1">
      <c r="A1911" s="63"/>
    </row>
    <row r="1912" spans="1:1">
      <c r="A1912" s="63"/>
    </row>
    <row r="1913" spans="1:1">
      <c r="A1913" s="63"/>
    </row>
    <row r="1914" spans="1:1">
      <c r="A1914" s="63"/>
    </row>
    <row r="1915" spans="1:1">
      <c r="A1915" s="63"/>
    </row>
    <row r="1916" spans="1:1">
      <c r="A1916" s="63"/>
    </row>
    <row r="1917" spans="1:1">
      <c r="A1917" s="63"/>
    </row>
    <row r="1918" spans="1:1">
      <c r="A1918" s="63"/>
    </row>
    <row r="1919" spans="1:1">
      <c r="A1919" s="63"/>
    </row>
    <row r="1920" spans="1:1">
      <c r="A1920" s="63"/>
    </row>
    <row r="1921" spans="1:1">
      <c r="A1921" s="63"/>
    </row>
    <row r="1922" spans="1:1">
      <c r="A1922" s="63"/>
    </row>
    <row r="1923" spans="1:1">
      <c r="A1923" s="63"/>
    </row>
    <row r="1924" spans="1:1">
      <c r="A1924" s="63"/>
    </row>
    <row r="1925" spans="1:1">
      <c r="A1925" s="63"/>
    </row>
    <row r="1926" spans="1:1">
      <c r="A1926" s="63"/>
    </row>
    <row r="1927" spans="1:1">
      <c r="A1927" s="63"/>
    </row>
    <row r="1928" spans="1:1">
      <c r="A1928" s="63"/>
    </row>
    <row r="1929" spans="1:1">
      <c r="A1929" s="63"/>
    </row>
    <row r="1930" spans="1:1">
      <c r="A1930" s="63"/>
    </row>
    <row r="1931" spans="1:1">
      <c r="A1931" s="63"/>
    </row>
    <row r="1932" spans="1:1">
      <c r="A1932" s="63"/>
    </row>
    <row r="1933" spans="1:1">
      <c r="A1933" s="63"/>
    </row>
    <row r="1934" spans="1:1">
      <c r="A1934" s="63"/>
    </row>
    <row r="1935" spans="1:1">
      <c r="A1935" s="63"/>
    </row>
    <row r="1936" spans="1:1">
      <c r="A1936" s="63"/>
    </row>
    <row r="1937" spans="1:1">
      <c r="A1937" s="63"/>
    </row>
    <row r="1938" spans="1:1">
      <c r="A1938" s="63"/>
    </row>
    <row r="1939" spans="1:1">
      <c r="A1939" s="63"/>
    </row>
    <row r="1940" spans="1:1">
      <c r="A1940" s="63"/>
    </row>
    <row r="1941" spans="1:1">
      <c r="A1941" s="63"/>
    </row>
    <row r="1942" spans="1:1">
      <c r="A1942" s="63"/>
    </row>
    <row r="1943" spans="1:1">
      <c r="A1943" s="63"/>
    </row>
    <row r="1944" spans="1:1">
      <c r="A1944" s="63"/>
    </row>
    <row r="1945" spans="1:1">
      <c r="A1945" s="63"/>
    </row>
    <row r="1946" spans="1:1">
      <c r="A1946" s="63"/>
    </row>
    <row r="1947" spans="1:1">
      <c r="A1947" s="63"/>
    </row>
    <row r="1948" spans="1:1">
      <c r="A1948" s="63"/>
    </row>
    <row r="1949" spans="1:1">
      <c r="A1949" s="63"/>
    </row>
    <row r="1950" spans="1:1">
      <c r="A1950" s="63"/>
    </row>
    <row r="1951" spans="1:1">
      <c r="A1951" s="63"/>
    </row>
    <row r="1952" spans="1:1">
      <c r="A1952" s="63"/>
    </row>
    <row r="1953" spans="1:1">
      <c r="A1953" s="63"/>
    </row>
    <row r="1954" spans="1:1">
      <c r="A1954" s="63"/>
    </row>
    <row r="1955" spans="1:1">
      <c r="A1955" s="63"/>
    </row>
    <row r="1956" spans="1:1">
      <c r="A1956" s="63"/>
    </row>
    <row r="1957" spans="1:1">
      <c r="A1957" s="63"/>
    </row>
    <row r="1958" spans="1:1">
      <c r="A1958" s="63"/>
    </row>
    <row r="1959" spans="1:1">
      <c r="A1959" s="63"/>
    </row>
    <row r="1960" spans="1:1">
      <c r="A1960" s="63"/>
    </row>
    <row r="1961" spans="1:1">
      <c r="A1961" s="63"/>
    </row>
    <row r="1962" spans="1:1">
      <c r="A1962" s="63"/>
    </row>
    <row r="1963" spans="1:1">
      <c r="A1963" s="63"/>
    </row>
    <row r="1964" spans="1:1">
      <c r="A1964" s="63"/>
    </row>
    <row r="1965" spans="1:1">
      <c r="A1965" s="63"/>
    </row>
    <row r="1966" spans="1:1">
      <c r="A1966" s="63"/>
    </row>
    <row r="1967" spans="1:1">
      <c r="A1967" s="63"/>
    </row>
    <row r="1968" spans="1:1">
      <c r="A1968" s="63"/>
    </row>
    <row r="1969" spans="1:1">
      <c r="A1969" s="63"/>
    </row>
    <row r="1970" spans="1:1">
      <c r="A1970" s="63"/>
    </row>
    <row r="1971" spans="1:1">
      <c r="A1971" s="63"/>
    </row>
    <row r="1972" spans="1:1">
      <c r="A1972" s="63"/>
    </row>
    <row r="1973" spans="1:1">
      <c r="A1973" s="63"/>
    </row>
    <row r="1974" spans="1:1">
      <c r="A1974" s="63"/>
    </row>
    <row r="1975" spans="1:1">
      <c r="A1975" s="63"/>
    </row>
    <row r="1976" spans="1:1">
      <c r="A1976" s="63"/>
    </row>
    <row r="1977" spans="1:1">
      <c r="A1977" s="63"/>
    </row>
    <row r="1978" spans="1:1">
      <c r="A1978" s="63"/>
    </row>
    <row r="1979" spans="1:1">
      <c r="A1979" s="63"/>
    </row>
    <row r="1980" spans="1:1">
      <c r="A1980" s="63"/>
    </row>
    <row r="1981" spans="1:1">
      <c r="A1981" s="63"/>
    </row>
    <row r="1982" spans="1:1">
      <c r="A1982" s="63"/>
    </row>
    <row r="1983" spans="1:1">
      <c r="A1983" s="63"/>
    </row>
    <row r="1984" spans="1:1">
      <c r="A1984" s="63"/>
    </row>
    <row r="1985" spans="1:1">
      <c r="A1985" s="63"/>
    </row>
    <row r="1986" spans="1:1">
      <c r="A1986" s="63"/>
    </row>
    <row r="1987" spans="1:1">
      <c r="A1987" s="63"/>
    </row>
    <row r="1988" spans="1:1">
      <c r="A1988" s="63"/>
    </row>
    <row r="1989" spans="1:1">
      <c r="A1989" s="63"/>
    </row>
    <row r="1990" spans="1:1">
      <c r="A1990" s="63"/>
    </row>
    <row r="1991" spans="1:1">
      <c r="A1991" s="63"/>
    </row>
    <row r="1992" spans="1:1">
      <c r="A1992" s="63"/>
    </row>
    <row r="1993" spans="1:1">
      <c r="A1993" s="63"/>
    </row>
    <row r="1994" spans="1:1">
      <c r="A1994" s="63"/>
    </row>
    <row r="1995" spans="1:1">
      <c r="A1995" s="63"/>
    </row>
    <row r="1996" spans="1:1">
      <c r="A1996" s="63"/>
    </row>
    <row r="1997" spans="1:1">
      <c r="A1997" s="63"/>
    </row>
    <row r="1998" spans="1:1">
      <c r="A1998" s="63"/>
    </row>
    <row r="1999" spans="1:1">
      <c r="A1999" s="63"/>
    </row>
    <row r="2000" spans="1:1">
      <c r="A2000" s="63"/>
    </row>
    <row r="2001" spans="1:1">
      <c r="A2001" s="63"/>
    </row>
    <row r="2002" spans="1:1">
      <c r="A2002" s="63"/>
    </row>
    <row r="2003" spans="1:1">
      <c r="A2003" s="63"/>
    </row>
    <row r="2004" spans="1:1">
      <c r="A2004" s="63"/>
    </row>
    <row r="2005" spans="1:1">
      <c r="A2005" s="63"/>
    </row>
    <row r="2006" spans="1:1">
      <c r="A2006" s="63"/>
    </row>
    <row r="2007" spans="1:1">
      <c r="A2007" s="63"/>
    </row>
    <row r="2008" spans="1:1">
      <c r="A2008" s="63"/>
    </row>
    <row r="2009" spans="1:1">
      <c r="A2009" s="63"/>
    </row>
    <row r="2010" spans="1:1">
      <c r="A2010" s="63"/>
    </row>
    <row r="2011" spans="1:1">
      <c r="A2011" s="63"/>
    </row>
    <row r="2012" spans="1:1">
      <c r="A2012" s="63"/>
    </row>
    <row r="2013" spans="1:1">
      <c r="A2013" s="63"/>
    </row>
    <row r="2014" spans="1:1">
      <c r="A2014" s="63"/>
    </row>
    <row r="2015" spans="1:1">
      <c r="A2015" s="63"/>
    </row>
    <row r="2016" spans="1:1">
      <c r="A2016" s="63"/>
    </row>
    <row r="2017" spans="1:1">
      <c r="A2017" s="63"/>
    </row>
    <row r="2018" spans="1:1">
      <c r="A2018" s="63"/>
    </row>
    <row r="2019" spans="1:1">
      <c r="A2019" s="63"/>
    </row>
    <row r="2020" spans="1:1">
      <c r="A2020" s="63"/>
    </row>
    <row r="2021" spans="1:1">
      <c r="A2021" s="63"/>
    </row>
    <row r="2022" spans="1:1">
      <c r="A2022" s="63"/>
    </row>
    <row r="2023" spans="1:1">
      <c r="A2023" s="63"/>
    </row>
    <row r="2024" spans="1:1">
      <c r="A2024" s="63"/>
    </row>
    <row r="2025" spans="1:1">
      <c r="A2025" s="63"/>
    </row>
    <row r="2026" spans="1:1">
      <c r="A2026" s="63"/>
    </row>
    <row r="2027" spans="1:1">
      <c r="A2027" s="63"/>
    </row>
    <row r="2028" spans="1:1">
      <c r="A2028" s="63"/>
    </row>
    <row r="2029" spans="1:1">
      <c r="A2029" s="63"/>
    </row>
    <row r="2030" spans="1:1">
      <c r="A2030" s="63"/>
    </row>
    <row r="2031" spans="1:1">
      <c r="A2031" s="63"/>
    </row>
    <row r="2032" spans="1:1">
      <c r="A2032" s="63"/>
    </row>
    <row r="2033" spans="1:1">
      <c r="A2033" s="63"/>
    </row>
    <row r="2034" spans="1:1">
      <c r="A2034" s="63"/>
    </row>
    <row r="2035" spans="1:1">
      <c r="A2035" s="63"/>
    </row>
    <row r="2036" spans="1:1">
      <c r="A2036" s="63"/>
    </row>
    <row r="2037" spans="1:1">
      <c r="A2037" s="63"/>
    </row>
    <row r="2038" spans="1:1">
      <c r="A2038" s="63"/>
    </row>
    <row r="2039" spans="1:1">
      <c r="A2039" s="63"/>
    </row>
    <row r="2040" spans="1:1">
      <c r="A2040" s="63"/>
    </row>
    <row r="2041" spans="1:1">
      <c r="A2041" s="63"/>
    </row>
    <row r="2042" spans="1:1">
      <c r="A2042" s="63"/>
    </row>
    <row r="2043" spans="1:1">
      <c r="A2043" s="63"/>
    </row>
    <row r="2044" spans="1:1">
      <c r="A2044" s="63"/>
    </row>
    <row r="2045" spans="1:1">
      <c r="A2045" s="63"/>
    </row>
    <row r="2046" spans="1:1">
      <c r="A2046" s="63"/>
    </row>
    <row r="2047" spans="1:1">
      <c r="A2047" s="63"/>
    </row>
    <row r="2048" spans="1:1">
      <c r="A2048" s="63"/>
    </row>
    <row r="2049" spans="1:1">
      <c r="A2049" s="63"/>
    </row>
    <row r="2050" spans="1:1">
      <c r="A2050" s="63"/>
    </row>
    <row r="2051" spans="1:1">
      <c r="A2051" s="63"/>
    </row>
    <row r="2052" spans="1:1">
      <c r="A2052" s="63"/>
    </row>
    <row r="2053" spans="1:1">
      <c r="A2053" s="63"/>
    </row>
    <row r="2054" spans="1:1">
      <c r="A2054" s="63"/>
    </row>
    <row r="2055" spans="1:1">
      <c r="A2055" s="63"/>
    </row>
    <row r="2056" spans="1:1">
      <c r="A2056" s="63"/>
    </row>
    <row r="2057" spans="1:1">
      <c r="A2057" s="63"/>
    </row>
    <row r="2058" spans="1:1">
      <c r="A2058" s="63"/>
    </row>
    <row r="2059" spans="1:1">
      <c r="A2059" s="63"/>
    </row>
    <row r="2060" spans="1:1">
      <c r="A2060" s="63"/>
    </row>
    <row r="2061" spans="1:1">
      <c r="A2061" s="63"/>
    </row>
    <row r="2062" spans="1:1">
      <c r="A2062" s="63"/>
    </row>
    <row r="2063" spans="1:1">
      <c r="A2063" s="63"/>
    </row>
    <row r="2064" spans="1:1">
      <c r="A2064" s="63"/>
    </row>
    <row r="2065" spans="1:1">
      <c r="A2065" s="63"/>
    </row>
    <row r="2066" spans="1:1">
      <c r="A2066" s="63"/>
    </row>
    <row r="2067" spans="1:1">
      <c r="A2067" s="63"/>
    </row>
    <row r="2068" spans="1:1">
      <c r="A2068" s="63"/>
    </row>
    <row r="2069" spans="1:1">
      <c r="A2069" s="63"/>
    </row>
    <row r="2070" spans="1:1">
      <c r="A2070" s="63"/>
    </row>
    <row r="2071" spans="1:1">
      <c r="A2071" s="63"/>
    </row>
    <row r="2072" spans="1:1">
      <c r="A2072" s="63"/>
    </row>
    <row r="2073" spans="1:1">
      <c r="A2073" s="63"/>
    </row>
    <row r="2074" spans="1:1">
      <c r="A2074" s="63"/>
    </row>
    <row r="2075" spans="1:1">
      <c r="A2075" s="63"/>
    </row>
    <row r="2076" spans="1:1">
      <c r="A2076" s="63"/>
    </row>
    <row r="2077" spans="1:1">
      <c r="A2077" s="63"/>
    </row>
    <row r="2078" spans="1:1">
      <c r="A2078" s="63"/>
    </row>
    <row r="2079" spans="1:1">
      <c r="A2079" s="63"/>
    </row>
    <row r="2080" spans="1:1">
      <c r="A2080" s="63"/>
    </row>
    <row r="2081" spans="1:1">
      <c r="A2081" s="63"/>
    </row>
    <row r="2082" spans="1:1">
      <c r="A2082" s="63"/>
    </row>
    <row r="2083" spans="1:1">
      <c r="A2083" s="63"/>
    </row>
    <row r="2084" spans="1:1">
      <c r="A2084" s="63"/>
    </row>
    <row r="2085" spans="1:1">
      <c r="A2085" s="63"/>
    </row>
    <row r="2086" spans="1:1">
      <c r="A2086" s="63"/>
    </row>
    <row r="2087" spans="1:1">
      <c r="A2087" s="63"/>
    </row>
    <row r="2088" spans="1:1">
      <c r="A2088" s="63"/>
    </row>
    <row r="2089" spans="1:1">
      <c r="A2089" s="63"/>
    </row>
    <row r="2090" spans="1:1">
      <c r="A2090" s="63"/>
    </row>
    <row r="2091" spans="1:1">
      <c r="A2091" s="63"/>
    </row>
    <row r="2092" spans="1:1">
      <c r="A2092" s="63"/>
    </row>
    <row r="2093" spans="1:1">
      <c r="A2093" s="63"/>
    </row>
    <row r="2094" spans="1:1">
      <c r="A2094" s="63"/>
    </row>
    <row r="2095" spans="1:1">
      <c r="A2095" s="63"/>
    </row>
    <row r="2096" spans="1:1">
      <c r="A2096" s="63"/>
    </row>
    <row r="2097" spans="1:1">
      <c r="A2097" s="63"/>
    </row>
    <row r="2098" spans="1:1">
      <c r="A2098" s="63"/>
    </row>
    <row r="2099" spans="1:1">
      <c r="A2099" s="63"/>
    </row>
    <row r="2100" spans="1:1">
      <c r="A2100" s="63"/>
    </row>
    <row r="2101" spans="1:1">
      <c r="A2101" s="63"/>
    </row>
    <row r="2102" spans="1:1">
      <c r="A2102" s="63"/>
    </row>
    <row r="2103" spans="1:1">
      <c r="A2103" s="63"/>
    </row>
    <row r="2104" spans="1:1">
      <c r="A2104" s="63"/>
    </row>
    <row r="2105" spans="1:1">
      <c r="A2105" s="63"/>
    </row>
    <row r="2106" spans="1:1">
      <c r="A2106" s="63"/>
    </row>
    <row r="2107" spans="1:1">
      <c r="A2107" s="63"/>
    </row>
    <row r="2108" spans="1:1">
      <c r="A2108" s="63"/>
    </row>
    <row r="2109" spans="1:1">
      <c r="A2109" s="63"/>
    </row>
    <row r="2110" spans="1:1">
      <c r="A2110" s="63"/>
    </row>
    <row r="2111" spans="1:1">
      <c r="A2111" s="63"/>
    </row>
    <row r="2112" spans="1:1">
      <c r="A2112" s="63"/>
    </row>
    <row r="2113" spans="1:1">
      <c r="A2113" s="63"/>
    </row>
    <row r="2114" spans="1:1">
      <c r="A2114" s="63"/>
    </row>
    <row r="2115" spans="1:1">
      <c r="A2115" s="63"/>
    </row>
    <row r="2116" spans="1:1">
      <c r="A2116" s="63"/>
    </row>
    <row r="2117" spans="1:1">
      <c r="A2117" s="63"/>
    </row>
    <row r="2118" spans="1:1">
      <c r="A2118" s="63"/>
    </row>
    <row r="2119" spans="1:1">
      <c r="A2119" s="63"/>
    </row>
    <row r="2120" spans="1:1">
      <c r="A2120" s="63"/>
    </row>
    <row r="2121" spans="1:1">
      <c r="A2121" s="63"/>
    </row>
    <row r="2122" spans="1:1">
      <c r="A2122" s="63"/>
    </row>
    <row r="2123" spans="1:1">
      <c r="A2123" s="63"/>
    </row>
    <row r="2124" spans="1:1">
      <c r="A2124" s="63"/>
    </row>
    <row r="2125" spans="1:1">
      <c r="A2125" s="63"/>
    </row>
    <row r="2126" spans="1:1">
      <c r="A2126" s="63"/>
    </row>
    <row r="2127" spans="1:1">
      <c r="A2127" s="63"/>
    </row>
    <row r="2128" spans="1:1">
      <c r="A2128" s="63"/>
    </row>
    <row r="2129" spans="1:1">
      <c r="A2129" s="63"/>
    </row>
    <row r="2130" spans="1:1">
      <c r="A2130" s="63"/>
    </row>
    <row r="2131" spans="1:1">
      <c r="A2131" s="63"/>
    </row>
    <row r="2132" spans="1:1">
      <c r="A2132" s="63"/>
    </row>
    <row r="2133" spans="1:1">
      <c r="A2133" s="63"/>
    </row>
    <row r="2134" spans="1:1">
      <c r="A2134" s="63"/>
    </row>
    <row r="2135" spans="1:1">
      <c r="A2135" s="63"/>
    </row>
    <row r="2136" spans="1:1">
      <c r="A2136" s="63"/>
    </row>
  </sheetData>
  <mergeCells count="2">
    <mergeCell ref="D9:F9"/>
    <mergeCell ref="G9:I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pageSetUpPr fitToPage="1"/>
  </sheetPr>
  <dimension ref="A1:N85"/>
  <sheetViews>
    <sheetView topLeftCell="A23" zoomScale="120" zoomScaleNormal="120" workbookViewId="0">
      <selection activeCell="G43" sqref="G43"/>
    </sheetView>
  </sheetViews>
  <sheetFormatPr defaultColWidth="9.140625" defaultRowHeight="18" customHeight="1" outlineLevelRow="1"/>
  <cols>
    <col min="1" max="1" width="50.28515625" style="149" customWidth="1"/>
    <col min="2" max="7" width="13.7109375" style="149" customWidth="1"/>
    <col min="8" max="8" width="1.42578125" style="149" customWidth="1"/>
    <col min="9" max="9" width="6.140625" style="149" customWidth="1"/>
    <col min="10" max="10" width="12.28515625" style="149" customWidth="1"/>
    <col min="11" max="11" width="9.42578125" style="149" bestFit="1" customWidth="1"/>
    <col min="12" max="16384" width="9.140625" style="149"/>
  </cols>
  <sheetData>
    <row r="1" spans="1:9" ht="18" customHeight="1">
      <c r="A1" s="12" t="s">
        <v>150</v>
      </c>
    </row>
    <row r="2" spans="1:9" ht="18" customHeight="1">
      <c r="A2" s="45" t="s">
        <v>708</v>
      </c>
    </row>
    <row r="3" spans="1:9" ht="30">
      <c r="A3" s="132"/>
      <c r="B3" s="4" t="s">
        <v>4</v>
      </c>
      <c r="C3" s="4" t="s">
        <v>2</v>
      </c>
      <c r="D3" s="4" t="s">
        <v>3</v>
      </c>
      <c r="E3" s="4"/>
    </row>
    <row r="4" spans="1:9" ht="18" customHeight="1">
      <c r="B4" s="11" t="s">
        <v>107</v>
      </c>
      <c r="C4" s="11" t="s">
        <v>108</v>
      </c>
      <c r="D4" s="11" t="s">
        <v>109</v>
      </c>
      <c r="E4" s="11" t="s">
        <v>110</v>
      </c>
      <c r="F4" s="11" t="s">
        <v>111</v>
      </c>
      <c r="G4" s="11" t="s">
        <v>285</v>
      </c>
      <c r="H4" s="46"/>
      <c r="I4" s="3"/>
    </row>
    <row r="5" spans="1:9" ht="18" customHeight="1">
      <c r="A5" s="147" t="s">
        <v>620</v>
      </c>
      <c r="B5" s="116">
        <f>'Common Inputs'!B11</f>
        <v>46.81</v>
      </c>
      <c r="C5" s="116">
        <f>'Common Inputs'!C11</f>
        <v>54</v>
      </c>
      <c r="D5" s="116">
        <f>'Common Inputs'!D11</f>
        <v>60</v>
      </c>
      <c r="E5" s="116">
        <f>'Common Inputs'!E11</f>
        <v>63</v>
      </c>
      <c r="F5" s="116">
        <f>'Common Inputs'!F11</f>
        <v>67</v>
      </c>
      <c r="G5" s="116">
        <f>'Common Inputs'!G11</f>
        <v>71</v>
      </c>
      <c r="H5" s="57"/>
      <c r="I5" s="115" t="s">
        <v>186</v>
      </c>
    </row>
    <row r="6" spans="1:9" ht="18" customHeight="1">
      <c r="A6" s="31" t="str">
        <f>'HB61'!A6</f>
        <v>Average Oil Production, thousand barrels/day</v>
      </c>
      <c r="B6" s="51">
        <f>'Common Inputs'!B12</f>
        <v>505.8</v>
      </c>
      <c r="C6" s="51">
        <f>'Common Inputs'!C12</f>
        <v>469.7</v>
      </c>
      <c r="D6" s="51">
        <f>'Common Inputs'!D12</f>
        <v>457.8</v>
      </c>
      <c r="E6" s="51">
        <f>'Common Inputs'!E12</f>
        <v>443.1</v>
      </c>
      <c r="F6" s="51">
        <f>'Common Inputs'!F12</f>
        <v>426.5</v>
      </c>
      <c r="G6" s="51">
        <f>'Common Inputs'!G12</f>
        <v>410</v>
      </c>
      <c r="H6" s="52"/>
      <c r="I6" s="115" t="s">
        <v>186</v>
      </c>
    </row>
    <row r="7" spans="1:9" ht="18" customHeight="1">
      <c r="A7" s="149" t="str">
        <f>'HB61'!A7</f>
        <v>Unrestricted Petroleum Royalties, $ mil.</v>
      </c>
      <c r="B7" s="6">
        <f>'HB61'!B7</f>
        <v>592.09999999999991</v>
      </c>
      <c r="C7" s="6">
        <f>'HB61'!C7</f>
        <v>645.39999999999986</v>
      </c>
      <c r="D7" s="6">
        <f>'HB61'!D7</f>
        <v>702.19999999999993</v>
      </c>
      <c r="E7" s="6">
        <f>'HB61'!E7</f>
        <v>713.09999999999991</v>
      </c>
      <c r="F7" s="6">
        <f>'HB61'!F7</f>
        <v>729.1</v>
      </c>
      <c r="G7" s="6">
        <f>'HB61'!G7</f>
        <v>747.00000000000011</v>
      </c>
      <c r="H7" s="6"/>
      <c r="I7" s="3"/>
    </row>
    <row r="8" spans="1:9" ht="18" customHeight="1">
      <c r="A8" s="149" t="str">
        <f>'HB61'!A8</f>
        <v>Other Unrestricted Petroleum Revenues, $ mil.</v>
      </c>
      <c r="B8" s="6">
        <f>'HB61'!B8</f>
        <v>374.9</v>
      </c>
      <c r="C8" s="6">
        <f>'HB61'!C8</f>
        <v>454.4</v>
      </c>
      <c r="D8" s="6">
        <f>'HB61'!D8</f>
        <v>641.90000000000009</v>
      </c>
      <c r="E8" s="6">
        <f>'HB61'!E8</f>
        <v>647.40000000000009</v>
      </c>
      <c r="F8" s="6">
        <f>'HB61'!F8</f>
        <v>649.09999999999991</v>
      </c>
      <c r="G8" s="6">
        <f>'HB61'!G8</f>
        <v>683.7</v>
      </c>
      <c r="H8" s="6"/>
      <c r="I8" s="3"/>
    </row>
    <row r="9" spans="1:9" ht="18" customHeight="1">
      <c r="A9" s="149" t="str">
        <f>'HB61'!A9</f>
        <v>Non-Petroleum + UGF Invest. Revenues, $ mil.</v>
      </c>
      <c r="B9" s="51">
        <f>'HB61'!B9</f>
        <v>479.8</v>
      </c>
      <c r="C9" s="51">
        <f>'HB61'!C9</f>
        <v>524.29999999999995</v>
      </c>
      <c r="D9" s="51">
        <f>'HB61'!D9</f>
        <v>528.5</v>
      </c>
      <c r="E9" s="51">
        <f>'HB61'!E9</f>
        <v>546.20000000000005</v>
      </c>
      <c r="F9" s="51">
        <f>'HB61'!F9</f>
        <v>565.29999999999995</v>
      </c>
      <c r="G9" s="51">
        <f>'HB61'!G9</f>
        <v>581.70000000000005</v>
      </c>
      <c r="H9" s="52"/>
      <c r="I9" s="3"/>
    </row>
    <row r="10" spans="1:9" s="16" customFormat="1" ht="18" customHeight="1">
      <c r="A10" s="178" t="str">
        <f>'HB61'!A10</f>
        <v>Total UGF Revenues, $ mil.</v>
      </c>
      <c r="B10" s="179">
        <f>SUM(B7:B9)</f>
        <v>1446.8</v>
      </c>
      <c r="C10" s="179">
        <f t="shared" ref="C10:G10" si="0">SUM(C7:C9)</f>
        <v>1624.0999999999997</v>
      </c>
      <c r="D10" s="179">
        <f t="shared" si="0"/>
        <v>1872.6</v>
      </c>
      <c r="E10" s="179">
        <f t="shared" si="0"/>
        <v>1906.7</v>
      </c>
      <c r="F10" s="179">
        <f t="shared" si="0"/>
        <v>1943.4999999999998</v>
      </c>
      <c r="G10" s="179">
        <f t="shared" si="0"/>
        <v>2012.4000000000003</v>
      </c>
      <c r="H10" s="125"/>
      <c r="I10" s="123"/>
    </row>
    <row r="11" spans="1:9" s="16" customFormat="1" ht="18" customHeight="1">
      <c r="A11" s="16" t="str">
        <f>'HB61'!A11</f>
        <v>UGF Operating Spending, execpt Oil Tax Credits, $ mil.</v>
      </c>
      <c r="B11" s="128">
        <f>'Common Inputs'!B24</f>
        <v>4246.8</v>
      </c>
      <c r="C11" s="128">
        <f>'Common Inputs'!C24</f>
        <v>4167.5</v>
      </c>
      <c r="D11" s="128">
        <f>'Common Inputs'!D24</f>
        <v>4150.2</v>
      </c>
      <c r="E11" s="128">
        <f>'Common Inputs'!E24</f>
        <v>4122.2</v>
      </c>
      <c r="F11" s="128">
        <f>'Common Inputs'!F24</f>
        <v>4217.5</v>
      </c>
      <c r="G11" s="128">
        <f>'Common Inputs'!G24</f>
        <v>4298.1000000000004</v>
      </c>
      <c r="H11" s="125"/>
      <c r="I11" s="115" t="s">
        <v>336</v>
      </c>
    </row>
    <row r="12" spans="1:9" s="16" customFormat="1" ht="18" customHeight="1">
      <c r="A12" s="16" t="str">
        <f>'HB61'!A12</f>
        <v>UGF Capital Spending</v>
      </c>
      <c r="B12" s="128">
        <f>'Common Inputs'!B26</f>
        <v>96.1</v>
      </c>
      <c r="C12" s="128">
        <f>'Common Inputs'!C26</f>
        <v>115.2</v>
      </c>
      <c r="D12" s="128">
        <f>'Common Inputs'!D26</f>
        <v>180</v>
      </c>
      <c r="E12" s="128">
        <f>'Common Inputs'!E26</f>
        <v>180</v>
      </c>
      <c r="F12" s="128">
        <f>'Common Inputs'!F26</f>
        <v>180</v>
      </c>
      <c r="G12" s="128">
        <f>'Common Inputs'!G26</f>
        <v>180</v>
      </c>
      <c r="H12" s="125"/>
      <c r="I12" s="115"/>
    </row>
    <row r="13" spans="1:9" s="16" customFormat="1" ht="18" customHeight="1">
      <c r="A13" s="175" t="str">
        <f>'HB61'!A13</f>
        <v>Oil Tax Credit Spending, $ mil.</v>
      </c>
      <c r="B13" s="128">
        <f>'Common Inputs'!B35</f>
        <v>30</v>
      </c>
      <c r="C13" s="128">
        <f>'Common Inputs'!C35</f>
        <v>961</v>
      </c>
      <c r="D13" s="128">
        <f>'Common Inputs'!D35</f>
        <v>223</v>
      </c>
      <c r="E13" s="128">
        <f>'Common Inputs'!E35</f>
        <v>192</v>
      </c>
      <c r="F13" s="128">
        <f>'Common Inputs'!F35</f>
        <v>151</v>
      </c>
      <c r="G13" s="128">
        <f>'Common Inputs'!G35</f>
        <v>150</v>
      </c>
      <c r="H13" s="117"/>
      <c r="I13" s="123"/>
    </row>
    <row r="14" spans="1:9" s="16" customFormat="1" ht="18" customHeight="1">
      <c r="A14" s="126" t="str">
        <f>'HB61'!A14</f>
        <v>Supplemental Spending, $ mil.</v>
      </c>
      <c r="B14" s="127">
        <f>'Common Inputs'!B25</f>
        <v>0</v>
      </c>
      <c r="C14" s="127">
        <f>'Common Inputs'!C25</f>
        <v>0</v>
      </c>
      <c r="D14" s="127">
        <f>'Common Inputs'!D25</f>
        <v>0</v>
      </c>
      <c r="E14" s="127">
        <f>'Common Inputs'!E25</f>
        <v>0</v>
      </c>
      <c r="F14" s="127">
        <f>'Common Inputs'!F25</f>
        <v>0</v>
      </c>
      <c r="G14" s="127">
        <f>'Common Inputs'!G25</f>
        <v>0</v>
      </c>
      <c r="H14" s="117"/>
      <c r="I14" s="123"/>
    </row>
    <row r="15" spans="1:9" s="16" customFormat="1" ht="18" customHeight="1">
      <c r="A15" s="175" t="str">
        <f>'HB61'!A15</f>
        <v>Total Spending, $ mil.</v>
      </c>
      <c r="B15" s="128">
        <f>SUM(B11:B14)</f>
        <v>4372.9000000000005</v>
      </c>
      <c r="C15" s="128">
        <f t="shared" ref="C15:G15" si="1">SUM(C11:C14)</f>
        <v>5243.7</v>
      </c>
      <c r="D15" s="128">
        <f t="shared" si="1"/>
        <v>4553.2</v>
      </c>
      <c r="E15" s="128">
        <f t="shared" si="1"/>
        <v>4494.2</v>
      </c>
      <c r="F15" s="128">
        <f t="shared" si="1"/>
        <v>4548.5</v>
      </c>
      <c r="G15" s="128">
        <f t="shared" si="1"/>
        <v>4628.1000000000004</v>
      </c>
      <c r="H15" s="117"/>
      <c r="I15" s="123"/>
    </row>
    <row r="16" spans="1:9" s="16" customFormat="1" ht="18" customHeight="1" thickBot="1">
      <c r="A16" s="184" t="str">
        <f>'HB61'!A16</f>
        <v>Fiscal Gap (negative is Gap), $ mil.</v>
      </c>
      <c r="B16" s="185">
        <f>B10-B15</f>
        <v>-2926.1000000000004</v>
      </c>
      <c r="C16" s="185">
        <f t="shared" ref="C16:G16" si="2">C10-C15</f>
        <v>-3619.6000000000004</v>
      </c>
      <c r="D16" s="185">
        <f t="shared" si="2"/>
        <v>-2680.6</v>
      </c>
      <c r="E16" s="185">
        <f t="shared" si="2"/>
        <v>-2587.5</v>
      </c>
      <c r="F16" s="185">
        <f t="shared" si="2"/>
        <v>-2605</v>
      </c>
      <c r="G16" s="185">
        <f t="shared" si="2"/>
        <v>-2615.6999999999998</v>
      </c>
      <c r="H16" s="125"/>
      <c r="I16" s="123"/>
    </row>
    <row r="17" spans="1:9" ht="18" customHeight="1" thickTop="1">
      <c r="A17" s="161" t="s">
        <v>310</v>
      </c>
      <c r="B17" s="155"/>
      <c r="C17" s="155"/>
      <c r="D17" s="155"/>
      <c r="E17" s="155"/>
      <c r="F17" s="155"/>
      <c r="G17" s="155"/>
      <c r="H17" s="156"/>
      <c r="I17" s="44"/>
    </row>
    <row r="18" spans="1:9" ht="6" customHeight="1">
      <c r="A18" s="76"/>
      <c r="B18" s="157"/>
      <c r="C18" s="157"/>
      <c r="D18" s="157"/>
      <c r="E18" s="157"/>
      <c r="F18" s="157"/>
      <c r="G18" s="157"/>
      <c r="H18" s="158"/>
      <c r="I18" s="44"/>
    </row>
    <row r="19" spans="1:9" ht="15" hidden="1">
      <c r="A19" s="76" t="b">
        <v>0</v>
      </c>
      <c r="B19" s="180"/>
      <c r="C19" s="157"/>
      <c r="D19" s="157"/>
      <c r="E19" s="157"/>
      <c r="F19" s="157"/>
      <c r="G19" s="157"/>
      <c r="H19" s="158"/>
      <c r="I19" s="44"/>
    </row>
    <row r="20" spans="1:9" ht="18" customHeight="1">
      <c r="A20" s="76" t="b">
        <v>1</v>
      </c>
      <c r="B20" s="180"/>
      <c r="C20" s="268" t="s">
        <v>108</v>
      </c>
      <c r="D20" s="268" t="s">
        <v>109</v>
      </c>
      <c r="E20" s="268" t="s">
        <v>110</v>
      </c>
      <c r="F20" s="268" t="s">
        <v>111</v>
      </c>
      <c r="G20" s="268" t="s">
        <v>285</v>
      </c>
      <c r="H20" s="158"/>
      <c r="I20" s="44"/>
    </row>
    <row r="21" spans="1:9" ht="15">
      <c r="A21" s="76" t="s">
        <v>486</v>
      </c>
      <c r="B21" s="157"/>
      <c r="C21" s="131">
        <v>5.2499999999999998E-2</v>
      </c>
      <c r="D21" s="131">
        <v>5.2499999999999998E-2</v>
      </c>
      <c r="E21" s="131">
        <v>0.05</v>
      </c>
      <c r="F21" s="131">
        <v>0.05</v>
      </c>
      <c r="G21" s="131">
        <v>0.05</v>
      </c>
      <c r="H21" s="158"/>
      <c r="I21" s="44"/>
    </row>
    <row r="22" spans="1:9" ht="15">
      <c r="A22" s="149" t="s">
        <v>712</v>
      </c>
      <c r="C22" s="356">
        <v>1250</v>
      </c>
      <c r="D22" s="356">
        <v>1250</v>
      </c>
      <c r="E22" s="356">
        <v>0</v>
      </c>
      <c r="F22" s="356">
        <v>0</v>
      </c>
      <c r="G22" s="356">
        <v>0</v>
      </c>
      <c r="H22" s="158"/>
      <c r="I22" s="44"/>
    </row>
    <row r="23" spans="1:9" ht="15">
      <c r="C23" s="358" t="s">
        <v>717</v>
      </c>
      <c r="D23" s="356"/>
      <c r="E23" s="356"/>
      <c r="F23" s="356"/>
      <c r="G23" s="356"/>
      <c r="H23" s="158"/>
      <c r="I23" s="44"/>
    </row>
    <row r="24" spans="1:9" ht="6.75" customHeight="1">
      <c r="C24" s="356"/>
      <c r="D24" s="356"/>
      <c r="E24" s="356"/>
      <c r="F24" s="356"/>
      <c r="G24" s="356"/>
      <c r="H24" s="158"/>
      <c r="I24" s="44"/>
    </row>
    <row r="25" spans="1:9" ht="15">
      <c r="A25" s="5" t="s">
        <v>477</v>
      </c>
      <c r="B25" s="131">
        <v>0.33</v>
      </c>
      <c r="C25" s="180" t="s">
        <v>583</v>
      </c>
      <c r="D25" s="157"/>
      <c r="E25" s="157"/>
      <c r="F25" s="157"/>
      <c r="G25" s="157"/>
      <c r="H25" s="158"/>
      <c r="I25" s="44"/>
    </row>
    <row r="26" spans="1:9" ht="15">
      <c r="A26" s="232" t="s">
        <v>234</v>
      </c>
      <c r="B26" s="242">
        <v>4</v>
      </c>
      <c r="C26" s="236" t="s">
        <v>478</v>
      </c>
      <c r="D26" s="157"/>
      <c r="E26" s="157"/>
      <c r="F26" s="157"/>
      <c r="G26" s="157"/>
      <c r="H26" s="158"/>
      <c r="I26" s="44"/>
    </row>
    <row r="27" spans="1:9" ht="15">
      <c r="A27" s="143"/>
      <c r="B27" s="242"/>
      <c r="C27" s="236" t="s">
        <v>716</v>
      </c>
      <c r="D27" s="157"/>
      <c r="E27" s="157"/>
      <c r="F27" s="157"/>
      <c r="G27" s="157"/>
      <c r="H27" s="158"/>
      <c r="I27" s="44"/>
    </row>
    <row r="28" spans="1:9" ht="15">
      <c r="A28" s="143" t="s">
        <v>710</v>
      </c>
      <c r="B28" s="357">
        <v>2.5000000000000001E-3</v>
      </c>
      <c r="C28" s="236" t="s">
        <v>711</v>
      </c>
      <c r="D28" s="157"/>
      <c r="E28" s="157"/>
      <c r="F28" s="157"/>
      <c r="G28" s="157"/>
      <c r="H28" s="158"/>
      <c r="I28" s="44"/>
    </row>
    <row r="29" spans="1:9" ht="15">
      <c r="A29" s="143" t="s">
        <v>718</v>
      </c>
      <c r="B29" s="176">
        <f>2386-696</f>
        <v>1690</v>
      </c>
      <c r="C29" s="180" t="s">
        <v>71</v>
      </c>
      <c r="D29" s="359" t="s">
        <v>719</v>
      </c>
      <c r="E29" s="157"/>
      <c r="F29" s="157"/>
      <c r="G29" s="157"/>
      <c r="H29" s="158"/>
      <c r="I29" s="44"/>
    </row>
    <row r="30" spans="1:9" ht="15.75" thickBot="1">
      <c r="A30" s="5"/>
      <c r="B30" s="182"/>
      <c r="C30" s="180"/>
      <c r="D30" s="157"/>
      <c r="E30" s="157"/>
      <c r="F30" s="157"/>
      <c r="G30" s="157"/>
      <c r="H30" s="158"/>
      <c r="I30" s="44"/>
    </row>
    <row r="31" spans="1:9" ht="15.75" thickBot="1">
      <c r="A31" s="149" t="s">
        <v>485</v>
      </c>
      <c r="B31" s="290"/>
      <c r="C31" s="180" t="s">
        <v>484</v>
      </c>
      <c r="D31" s="157"/>
      <c r="E31" s="157"/>
      <c r="F31" s="157"/>
      <c r="G31" s="157"/>
      <c r="H31" s="158"/>
      <c r="I31" s="44"/>
    </row>
    <row r="32" spans="1:9" ht="6.75" customHeight="1">
      <c r="A32" s="76"/>
      <c r="B32" s="157"/>
      <c r="C32" s="157"/>
      <c r="D32" s="157"/>
      <c r="E32" s="157"/>
      <c r="F32" s="157"/>
      <c r="G32" s="157"/>
      <c r="H32" s="158"/>
      <c r="I32" s="44"/>
    </row>
    <row r="33" spans="1:14" ht="18" customHeight="1" thickBot="1">
      <c r="A33" s="291" t="str">
        <f>"Default FY18+ CBR Return is "&amp;TEXT(return_cbr, "0.00%")&amp;"."</f>
        <v>Default FY18+ CBR Return is 2.89%.</v>
      </c>
      <c r="B33" s="53"/>
      <c r="C33" s="5"/>
      <c r="D33" s="5"/>
      <c r="E33" s="5"/>
      <c r="F33" s="157"/>
      <c r="G33" s="157"/>
      <c r="H33" s="158"/>
      <c r="I33" s="44"/>
    </row>
    <row r="34" spans="1:14" ht="15.75" thickBot="1">
      <c r="A34" s="76" t="s">
        <v>313</v>
      </c>
      <c r="B34" s="129"/>
      <c r="C34" s="162" t="s">
        <v>490</v>
      </c>
      <c r="D34" s="5"/>
      <c r="E34" s="157"/>
      <c r="F34" s="157"/>
      <c r="G34" s="157"/>
      <c r="H34" s="158"/>
      <c r="I34" s="44"/>
    </row>
    <row r="35" spans="1:14" ht="8.25" customHeight="1">
      <c r="A35" s="76"/>
      <c r="B35" s="157"/>
      <c r="C35" s="157"/>
      <c r="D35" s="157"/>
      <c r="E35" s="157"/>
      <c r="F35" s="157"/>
      <c r="G35" s="157"/>
      <c r="H35" s="158"/>
      <c r="I35" s="44"/>
    </row>
    <row r="36" spans="1:14" ht="8.25" customHeight="1" thickBot="1">
      <c r="A36" s="80"/>
      <c r="B36" s="159"/>
      <c r="C36" s="159"/>
      <c r="D36" s="159"/>
      <c r="E36" s="159"/>
      <c r="F36" s="159"/>
      <c r="G36" s="159"/>
      <c r="H36" s="160"/>
      <c r="I36" s="44"/>
    </row>
    <row r="37" spans="1:14" ht="18" customHeight="1" thickTop="1">
      <c r="A37" s="73" t="s">
        <v>5</v>
      </c>
      <c r="B37" s="318" t="s">
        <v>721</v>
      </c>
      <c r="C37" s="318" t="s">
        <v>551</v>
      </c>
      <c r="D37" s="318" t="s">
        <v>552</v>
      </c>
      <c r="E37" s="318" t="s">
        <v>553</v>
      </c>
      <c r="F37" s="318" t="s">
        <v>554</v>
      </c>
      <c r="G37" s="318" t="s">
        <v>555</v>
      </c>
      <c r="H37" s="74"/>
      <c r="I37" s="3"/>
    </row>
    <row r="38" spans="1:14" ht="18" customHeight="1">
      <c r="A38" s="76" t="s">
        <v>231</v>
      </c>
      <c r="B38" s="53"/>
      <c r="C38" s="53">
        <f>-'PF Model'!H92</f>
        <v>2525.67</v>
      </c>
      <c r="D38" s="53">
        <f>-'PF Model'!I92</f>
        <v>2677.5143991442769</v>
      </c>
      <c r="E38" s="53">
        <f>-'PF Model'!J92</f>
        <v>2663.0418425621788</v>
      </c>
      <c r="F38" s="53">
        <f>-'PF Model'!K92</f>
        <v>2725.8684380137747</v>
      </c>
      <c r="G38" s="53">
        <f>-'PF Model'!L92</f>
        <v>2787.3508910629971</v>
      </c>
      <c r="H38" s="173"/>
      <c r="I38" s="3"/>
    </row>
    <row r="39" spans="1:14" ht="18" customHeight="1">
      <c r="A39" s="76" t="s">
        <v>480</v>
      </c>
      <c r="B39" s="53"/>
      <c r="C39" s="53">
        <f>-$B$25*C38</f>
        <v>-833.47110000000009</v>
      </c>
      <c r="D39" s="53">
        <f>-$B$25*D38</f>
        <v>-883.57975171761143</v>
      </c>
      <c r="E39" s="53">
        <f>-$B$25*E38</f>
        <v>-878.80380804551908</v>
      </c>
      <c r="F39" s="53">
        <f>-$B$25*F38</f>
        <v>-899.53658454454569</v>
      </c>
      <c r="G39" s="53">
        <f>-$B$25*G38</f>
        <v>-919.82579405078911</v>
      </c>
      <c r="H39" s="173"/>
      <c r="I39" s="3"/>
    </row>
    <row r="40" spans="1:14" ht="18" customHeight="1">
      <c r="A40" s="76" t="s">
        <v>233</v>
      </c>
      <c r="B40" s="53"/>
      <c r="C40" s="53">
        <f>IF(reduce_royalty_HB365,(0.745-'HB61'!C24)*'HB61'!C23, 0)</f>
        <v>53.299204905205528</v>
      </c>
      <c r="D40" s="53">
        <f>IF(reduce_royalty_HB365,(0.745-'HB61'!D24)*'HB61'!D23, 0)</f>
        <v>60.441075780784651</v>
      </c>
      <c r="E40" s="53">
        <f>IF(reduce_royalty_HB365,(0.745-'HB61'!E24)*'HB61'!E23, 0)</f>
        <v>68.849448204810045</v>
      </c>
      <c r="F40" s="53">
        <f>IF(reduce_royalty_HB365,(0.745-'HB61'!F24)*'HB61'!F23, 0)</f>
        <v>76.020848365385831</v>
      </c>
      <c r="G40" s="53">
        <f>IF(reduce_royalty_HB365,(0.745-'HB61'!G24)*'HB61'!G23, 0)</f>
        <v>74.925696000173815</v>
      </c>
      <c r="H40" s="173"/>
      <c r="I40" s="3"/>
    </row>
    <row r="41" spans="1:14" ht="18" customHeight="1">
      <c r="A41" s="56" t="str">
        <f>"Excess Dividend Funding beyond " &amp; IF(ISBLANK(B31),"",TEXT($B$31, "$#,##0")) &amp; " Dividend Cap"</f>
        <v>Excess Dividend Funding beyond  Dividend Cap</v>
      </c>
      <c r="B41" s="53"/>
      <c r="C41" s="53">
        <f>C85</f>
        <v>0</v>
      </c>
      <c r="D41" s="53">
        <f>D85</f>
        <v>0</v>
      </c>
      <c r="E41" s="53">
        <f>E85</f>
        <v>0</v>
      </c>
      <c r="F41" s="53">
        <f>F85</f>
        <v>0</v>
      </c>
      <c r="G41" s="53">
        <f>G85</f>
        <v>0</v>
      </c>
      <c r="H41" s="173"/>
      <c r="I41" s="3"/>
    </row>
    <row r="42" spans="1:14" ht="18" customHeight="1">
      <c r="A42" s="76" t="s">
        <v>720</v>
      </c>
      <c r="B42" s="53">
        <f>B29</f>
        <v>1690</v>
      </c>
      <c r="C42" s="117"/>
      <c r="D42" s="117"/>
      <c r="E42" s="117"/>
      <c r="F42" s="117"/>
      <c r="G42" s="117"/>
      <c r="H42" s="181"/>
      <c r="I42" s="3"/>
    </row>
    <row r="43" spans="1:14" ht="18" customHeight="1">
      <c r="A43" s="289" t="s">
        <v>709</v>
      </c>
      <c r="B43" s="53"/>
      <c r="C43" s="117">
        <v>0</v>
      </c>
      <c r="D43" s="117">
        <f>341-4.83</f>
        <v>336.17</v>
      </c>
      <c r="E43" s="117">
        <f>687-7.75</f>
        <v>679.25</v>
      </c>
      <c r="F43" s="117">
        <f>692-7.75</f>
        <v>684.25</v>
      </c>
      <c r="G43" s="117">
        <f>697-7.75</f>
        <v>689.25</v>
      </c>
      <c r="H43" s="181"/>
      <c r="I43" s="3"/>
    </row>
    <row r="44" spans="1:14" ht="18" customHeight="1">
      <c r="A44" s="135" t="s">
        <v>204</v>
      </c>
      <c r="B44" s="37"/>
      <c r="C44" s="37"/>
      <c r="D44" s="37"/>
      <c r="E44" s="37"/>
      <c r="F44" s="37"/>
      <c r="G44" s="37"/>
      <c r="H44" s="75"/>
    </row>
    <row r="45" spans="1:14" ht="18" customHeight="1">
      <c r="A45" s="77"/>
      <c r="B45" s="37"/>
      <c r="C45" s="37"/>
      <c r="D45" s="37"/>
      <c r="E45" s="37"/>
      <c r="F45" s="37"/>
      <c r="G45" s="37"/>
      <c r="H45" s="78"/>
      <c r="J45" s="37"/>
      <c r="K45" s="37"/>
      <c r="L45" s="37"/>
      <c r="M45" s="37"/>
      <c r="N45" s="37"/>
    </row>
    <row r="46" spans="1:14" ht="18" customHeight="1">
      <c r="A46" s="77"/>
      <c r="B46" s="37"/>
      <c r="C46" s="37"/>
      <c r="D46" s="37"/>
      <c r="E46" s="37"/>
      <c r="F46" s="37"/>
      <c r="G46" s="37"/>
      <c r="H46" s="78"/>
    </row>
    <row r="47" spans="1:14" ht="18" customHeight="1">
      <c r="A47" s="77"/>
      <c r="B47" s="37"/>
      <c r="C47" s="37"/>
      <c r="D47" s="37"/>
      <c r="E47" s="37"/>
      <c r="F47" s="37"/>
      <c r="G47" s="37"/>
      <c r="H47" s="78"/>
    </row>
    <row r="48" spans="1:14" ht="18" customHeight="1">
      <c r="A48" s="77"/>
      <c r="B48" s="37"/>
      <c r="C48" s="37"/>
      <c r="D48" s="37"/>
      <c r="E48" s="37"/>
      <c r="F48" s="37"/>
      <c r="G48" s="37"/>
      <c r="H48" s="78"/>
      <c r="J48" s="37"/>
      <c r="K48" s="37"/>
      <c r="L48" s="37"/>
      <c r="M48" s="37"/>
      <c r="N48" s="37"/>
    </row>
    <row r="49" spans="1:14" ht="18" customHeight="1">
      <c r="A49" s="77"/>
      <c r="B49" s="37"/>
      <c r="C49" s="37"/>
      <c r="D49" s="37"/>
      <c r="E49" s="37"/>
      <c r="F49" s="37"/>
      <c r="G49" s="37"/>
      <c r="H49" s="78"/>
      <c r="J49" s="37"/>
      <c r="K49" s="37"/>
      <c r="L49" s="37"/>
      <c r="M49" s="37"/>
      <c r="N49" s="37"/>
    </row>
    <row r="50" spans="1:14" ht="18" customHeight="1">
      <c r="A50" s="77"/>
      <c r="B50" s="37"/>
      <c r="C50" s="137"/>
      <c r="D50" s="137"/>
      <c r="E50" s="137"/>
      <c r="F50" s="137"/>
      <c r="G50" s="137"/>
      <c r="H50" s="78"/>
    </row>
    <row r="51" spans="1:14" ht="18" customHeight="1">
      <c r="A51" s="77"/>
      <c r="B51" s="37"/>
      <c r="C51" s="137"/>
      <c r="D51" s="137"/>
      <c r="E51" s="137"/>
      <c r="F51" s="137"/>
      <c r="G51" s="137"/>
      <c r="H51" s="78"/>
    </row>
    <row r="52" spans="1:14" ht="18" customHeight="1">
      <c r="A52" s="77"/>
      <c r="B52" s="37"/>
      <c r="C52" s="37"/>
      <c r="D52" s="37"/>
      <c r="E52" s="37"/>
      <c r="F52" s="37"/>
      <c r="G52" s="37"/>
      <c r="H52" s="78"/>
    </row>
    <row r="53" spans="1:14" ht="18" customHeight="1">
      <c r="A53" s="76"/>
      <c r="B53" s="58"/>
      <c r="C53" s="58"/>
      <c r="D53" s="58"/>
      <c r="E53" s="58"/>
      <c r="F53" s="58"/>
      <c r="G53" s="58"/>
      <c r="H53" s="79"/>
      <c r="I53" s="5"/>
      <c r="J53" s="29"/>
    </row>
    <row r="54" spans="1:14" ht="18" customHeight="1" thickBot="1">
      <c r="A54" s="80" t="s">
        <v>1</v>
      </c>
      <c r="B54" s="81">
        <f t="shared" ref="B54:G54" si="3">SUM(B37:B53)</f>
        <v>1690</v>
      </c>
      <c r="C54" s="81">
        <f t="shared" si="3"/>
        <v>1745.4981049052053</v>
      </c>
      <c r="D54" s="81">
        <f t="shared" si="3"/>
        <v>2190.54572320745</v>
      </c>
      <c r="E54" s="81">
        <f t="shared" si="3"/>
        <v>2532.3374827214698</v>
      </c>
      <c r="F54" s="81">
        <f t="shared" si="3"/>
        <v>2586.6027018346149</v>
      </c>
      <c r="G54" s="81">
        <f t="shared" si="3"/>
        <v>2631.7007930123818</v>
      </c>
      <c r="H54" s="82"/>
    </row>
    <row r="55" spans="1:14" ht="18" customHeight="1" thickTop="1">
      <c r="A55" s="149" t="s">
        <v>189</v>
      </c>
      <c r="B55" s="1">
        <f t="shared" ref="B55:G55" si="4">B16+B54</f>
        <v>-1236.1000000000004</v>
      </c>
      <c r="C55" s="1">
        <f t="shared" si="4"/>
        <v>-1874.1018950947951</v>
      </c>
      <c r="D55" s="1">
        <f t="shared" si="4"/>
        <v>-490.0542767925499</v>
      </c>
      <c r="E55" s="1">
        <f t="shared" si="4"/>
        <v>-55.162517278530231</v>
      </c>
      <c r="F55" s="1">
        <f t="shared" si="4"/>
        <v>-18.397298165385109</v>
      </c>
      <c r="G55" s="1">
        <f t="shared" si="4"/>
        <v>16.000793012382019</v>
      </c>
      <c r="H55" s="1"/>
    </row>
    <row r="56" spans="1:14" ht="8.25" customHeight="1">
      <c r="F56" s="6"/>
      <c r="G56" s="6"/>
      <c r="H56" s="1"/>
    </row>
    <row r="57" spans="1:14" ht="15" hidden="1" outlineLevel="1">
      <c r="A57" s="33" t="s">
        <v>118</v>
      </c>
      <c r="B57" s="62">
        <f>cbr_end_fy16_adj</f>
        <v>8647.8000000000011</v>
      </c>
      <c r="C57" s="69">
        <f>B63</f>
        <v>7873.2846000000009</v>
      </c>
      <c r="D57" s="69">
        <f t="shared" ref="D57:G57" si="5">C63</f>
        <v>6301.0848574610864</v>
      </c>
      <c r="E57" s="69">
        <f t="shared" si="5"/>
        <v>6087.4956487495092</v>
      </c>
      <c r="F57" s="69">
        <f t="shared" si="5"/>
        <v>6308.9096573451643</v>
      </c>
      <c r="G57" s="69">
        <f t="shared" si="5"/>
        <v>6574.0190073185649</v>
      </c>
      <c r="H57" s="23"/>
      <c r="I57" s="44"/>
    </row>
    <row r="58" spans="1:14" ht="15" hidden="1" outlineLevel="1">
      <c r="A58" s="33" t="s">
        <v>208</v>
      </c>
      <c r="B58" s="62">
        <f>'Common Inputs'!B76</f>
        <v>350</v>
      </c>
      <c r="C58" s="62">
        <f>'Common Inputs'!C76</f>
        <v>100</v>
      </c>
      <c r="D58" s="62">
        <f>'Common Inputs'!D76</f>
        <v>100</v>
      </c>
      <c r="E58" s="62">
        <f>'Common Inputs'!E76</f>
        <v>100</v>
      </c>
      <c r="F58" s="62">
        <f>'Common Inputs'!F76</f>
        <v>100</v>
      </c>
      <c r="G58" s="62">
        <f>'Common Inputs'!G76</f>
        <v>100</v>
      </c>
      <c r="H58" s="23"/>
      <c r="I58" s="44"/>
    </row>
    <row r="59" spans="1:14" ht="15" hidden="1" outlineLevel="1">
      <c r="A59" s="33" t="s">
        <v>194</v>
      </c>
      <c r="B59" s="62">
        <f>(B57+0.5*(B58+B55))*return_cbr_fy17</f>
        <v>111.58459999999999</v>
      </c>
      <c r="C59" s="1">
        <f>MAX(0,(C57+0.5*(C55+C58))*IF(ISBLANK($B$34),return_cbr,$B$34))</f>
        <v>201.90215255588024</v>
      </c>
      <c r="D59" s="1">
        <f>MAX(0,(D57+0.5*(D55+D58))*IF(ISBLANK($B$34),return_cbr,$B$34))</f>
        <v>176.46506808097303</v>
      </c>
      <c r="E59" s="1">
        <f>MAX(0,(E57+0.5*(E55+E58))*IF(ISBLANK($B$34),return_cbr,$B$34))</f>
        <v>176.57652587418605</v>
      </c>
      <c r="F59" s="1">
        <f>MAX(0,(F57+0.5*(F55+F58))*IF(ISBLANK($B$34),return_cbr,$B$34))</f>
        <v>183.50664813878541</v>
      </c>
      <c r="G59" s="1">
        <f>MAX(0,(G57+0.5*(G55+G58))*IF(ISBLANK($B$34),return_cbr,$B$34))</f>
        <v>191.66536077053541</v>
      </c>
      <c r="H59" s="23"/>
      <c r="I59" s="44"/>
    </row>
    <row r="60" spans="1:14" ht="18" customHeight="1" collapsed="1">
      <c r="A60" s="149" t="s">
        <v>44</v>
      </c>
      <c r="B60" s="1">
        <f t="shared" ref="B60:G60" si="6">MIN(-B55,SUM(B57:B59))</f>
        <v>1236.1000000000004</v>
      </c>
      <c r="C60" s="1">
        <f t="shared" si="6"/>
        <v>1874.1018950947951</v>
      </c>
      <c r="D60" s="1">
        <f t="shared" si="6"/>
        <v>490.0542767925499</v>
      </c>
      <c r="E60" s="1">
        <f t="shared" si="6"/>
        <v>55.162517278530231</v>
      </c>
      <c r="F60" s="1">
        <f t="shared" si="6"/>
        <v>18.397298165385109</v>
      </c>
      <c r="G60" s="1">
        <f t="shared" si="6"/>
        <v>-16.000793012382019</v>
      </c>
      <c r="H60" s="1"/>
    </row>
    <row r="61" spans="1:14" ht="18" customHeight="1">
      <c r="A61" s="149" t="s">
        <v>45</v>
      </c>
      <c r="B61" s="7">
        <f t="shared" ref="B61:G61" si="7">-B55-B60</f>
        <v>0</v>
      </c>
      <c r="C61" s="7">
        <f t="shared" si="7"/>
        <v>0</v>
      </c>
      <c r="D61" s="7">
        <f t="shared" si="7"/>
        <v>0</v>
      </c>
      <c r="E61" s="7">
        <f t="shared" si="7"/>
        <v>0</v>
      </c>
      <c r="F61" s="7">
        <f t="shared" si="7"/>
        <v>0</v>
      </c>
      <c r="G61" s="7">
        <f t="shared" si="7"/>
        <v>0</v>
      </c>
      <c r="H61" s="7"/>
    </row>
    <row r="62" spans="1:14" ht="6" customHeight="1">
      <c r="B62" s="7"/>
      <c r="C62" s="7"/>
      <c r="D62" s="7"/>
      <c r="E62" s="7"/>
      <c r="F62" s="7"/>
      <c r="G62" s="7"/>
      <c r="H62" s="7"/>
    </row>
    <row r="63" spans="1:14" ht="18" customHeight="1">
      <c r="A63" s="71" t="s">
        <v>97</v>
      </c>
      <c r="B63" s="72">
        <f t="shared" ref="B63:G63" si="8">SUM(B57:B59)-B60</f>
        <v>7873.2846000000009</v>
      </c>
      <c r="C63" s="72">
        <f t="shared" si="8"/>
        <v>6301.0848574610864</v>
      </c>
      <c r="D63" s="72">
        <f t="shared" si="8"/>
        <v>6087.4956487495092</v>
      </c>
      <c r="E63" s="72">
        <f t="shared" si="8"/>
        <v>6308.9096573451643</v>
      </c>
      <c r="F63" s="72">
        <f t="shared" si="8"/>
        <v>6574.0190073185649</v>
      </c>
      <c r="G63" s="72">
        <f t="shared" si="8"/>
        <v>6881.6851611014827</v>
      </c>
      <c r="H63" s="29"/>
    </row>
    <row r="64" spans="1:14" ht="18" customHeight="1">
      <c r="A64" s="71" t="s">
        <v>98</v>
      </c>
      <c r="B64" s="72">
        <f>'HB61'!B90</f>
        <v>6171.7926000000007</v>
      </c>
      <c r="C64" s="72">
        <f>'HB61'!C90</f>
        <v>2779.6991861400002</v>
      </c>
      <c r="D64" s="72">
        <f>'HB61'!D90</f>
        <v>242.14282261944618</v>
      </c>
      <c r="E64" s="72">
        <f>'HB61'!E90</f>
        <v>0</v>
      </c>
      <c r="F64" s="72">
        <f>'HB61'!F90</f>
        <v>0</v>
      </c>
      <c r="G64" s="72">
        <f>'HB61'!G90</f>
        <v>0</v>
      </c>
      <c r="H64" s="29"/>
    </row>
    <row r="65" spans="1:10" ht="15">
      <c r="A65" s="33"/>
      <c r="B65" s="29"/>
      <c r="C65" s="23"/>
      <c r="D65" s="23"/>
      <c r="E65" s="23"/>
      <c r="F65" s="23"/>
      <c r="G65" s="23"/>
      <c r="H65" s="23"/>
    </row>
    <row r="66" spans="1:10" ht="18" customHeight="1">
      <c r="A66" s="71" t="s">
        <v>30</v>
      </c>
      <c r="B66" s="72">
        <f>'PF Model'!G96</f>
        <v>54794.371347073997</v>
      </c>
      <c r="C66" s="72">
        <f>'PF Model'!H96</f>
        <v>56155.812909143846</v>
      </c>
      <c r="D66" s="72">
        <f>'PF Model'!I96</f>
        <v>57496.659545159622</v>
      </c>
      <c r="E66" s="72">
        <f>'PF Model'!J96</f>
        <v>58948.245304922253</v>
      </c>
      <c r="F66" s="72">
        <f>'PF Model'!K96</f>
        <v>60442.86452058248</v>
      </c>
      <c r="G66" s="72">
        <f>'PF Model'!L96</f>
        <v>61981.347991866467</v>
      </c>
      <c r="H66" s="29"/>
      <c r="I66" s="113">
        <f>(G66/D66)^(1/3)-1</f>
        <v>2.5351571020352459E-2</v>
      </c>
      <c r="J66" s="149" t="s">
        <v>439</v>
      </c>
    </row>
    <row r="67" spans="1:10" ht="18" customHeight="1">
      <c r="A67" s="71" t="s">
        <v>28</v>
      </c>
      <c r="B67" s="72">
        <f>'PF Model'!G28</f>
        <v>56484.371347073997</v>
      </c>
      <c r="C67" s="72">
        <f>'PF Model'!H28</f>
        <v>59057.187646130886</v>
      </c>
      <c r="D67" s="72">
        <f>'PF Model'!I28</f>
        <v>61786.298702676024</v>
      </c>
      <c r="E67" s="72">
        <f>'PF Model'!J28</f>
        <v>62469.954502832501</v>
      </c>
      <c r="F67" s="72">
        <f>'PF Model'!K28</f>
        <v>62869.258320105262</v>
      </c>
      <c r="G67" s="72">
        <f>'PF Model'!L28</f>
        <v>63122.681706917727</v>
      </c>
      <c r="H67" s="29"/>
    </row>
    <row r="68" spans="1:10" ht="8.25" customHeight="1">
      <c r="D68" s="1"/>
      <c r="E68" s="1"/>
      <c r="F68" s="1"/>
      <c r="G68" s="1"/>
      <c r="H68" s="1"/>
    </row>
    <row r="69" spans="1:10" ht="18" customHeight="1">
      <c r="A69" s="71" t="s">
        <v>31</v>
      </c>
      <c r="B69" s="72">
        <f>'PF Model'!G117</f>
        <v>9804.9352198899614</v>
      </c>
      <c r="C69" s="72">
        <f>'PF Model'!H117</f>
        <v>10168.96226191086</v>
      </c>
      <c r="D69" s="72">
        <f>'PF Model'!I117</f>
        <v>10835.313731993687</v>
      </c>
      <c r="E69" s="72">
        <f>'PF Model'!J117</f>
        <v>10673.819637201595</v>
      </c>
      <c r="F69" s="72">
        <f>'PF Model'!K117</f>
        <v>10985.045043545624</v>
      </c>
      <c r="G69" s="72">
        <f>'PF Model'!L117</f>
        <v>11222.056077626155</v>
      </c>
      <c r="H69" s="29"/>
      <c r="I69" s="113">
        <f>(G69/D69)^(1/3)-1</f>
        <v>1.1758778695766248E-2</v>
      </c>
      <c r="J69" s="149" t="s">
        <v>440</v>
      </c>
    </row>
    <row r="70" spans="1:10" ht="18" customHeight="1">
      <c r="A70" s="71" t="s">
        <v>29</v>
      </c>
      <c r="B70" s="72">
        <f>'PF Model'!G45</f>
        <v>11670.469051503305</v>
      </c>
      <c r="C70" s="72">
        <f>'PF Model'!H45</f>
        <v>12805.67558057932</v>
      </c>
      <c r="D70" s="72">
        <f>'PF Model'!I45</f>
        <v>14036.041598276737</v>
      </c>
      <c r="E70" s="72">
        <f>'PF Model'!J45</f>
        <v>12940.780384446334</v>
      </c>
      <c r="F70" s="72">
        <f>'PF Model'!K45</f>
        <v>11455.729270845331</v>
      </c>
      <c r="G70" s="72">
        <f>'PF Model'!L45</f>
        <v>9740.3733945314652</v>
      </c>
      <c r="H70" s="29"/>
    </row>
    <row r="71" spans="1:10" ht="9" customHeight="1"/>
    <row r="72" spans="1:10" ht="18" customHeight="1">
      <c r="C72" s="30">
        <v>43009</v>
      </c>
      <c r="D72" s="30">
        <v>43374</v>
      </c>
      <c r="E72" s="30">
        <v>43739</v>
      </c>
      <c r="F72" s="30">
        <v>44105</v>
      </c>
      <c r="G72" s="30">
        <v>44470</v>
      </c>
      <c r="H72" s="59"/>
    </row>
    <row r="73" spans="1:10" ht="18" customHeight="1">
      <c r="A73" s="71" t="s">
        <v>225</v>
      </c>
      <c r="B73" s="72"/>
      <c r="C73" s="72">
        <f>C84</f>
        <v>1250</v>
      </c>
      <c r="D73" s="72">
        <f t="shared" ref="D73:G73" si="9">D84</f>
        <v>1287.0040354292198</v>
      </c>
      <c r="E73" s="72">
        <f t="shared" si="9"/>
        <v>1268.6639763309047</v>
      </c>
      <c r="F73" s="72">
        <f t="shared" si="9"/>
        <v>1288.2068463444652</v>
      </c>
      <c r="G73" s="72">
        <f t="shared" si="9"/>
        <v>1306.6630569544184</v>
      </c>
      <c r="H73" s="29"/>
    </row>
    <row r="74" spans="1:10" ht="18" customHeight="1">
      <c r="A74" s="71" t="s">
        <v>34</v>
      </c>
      <c r="B74" s="72"/>
      <c r="C74" s="72">
        <f>'HB61'!C108</f>
        <v>2240.4135886896033</v>
      </c>
      <c r="D74" s="72">
        <f>'HB61'!D108</f>
        <v>2293.4589332172404</v>
      </c>
      <c r="E74" s="72">
        <f>'HB61'!E108</f>
        <v>2275.760482349207</v>
      </c>
      <c r="F74" s="72">
        <f>'HB61'!F108</f>
        <v>2380.838917196153</v>
      </c>
      <c r="G74" s="72">
        <f>'HB61'!G108</f>
        <v>2599.0175137051265</v>
      </c>
      <c r="H74" s="29"/>
    </row>
    <row r="75" spans="1:10" ht="18" customHeight="1">
      <c r="A75" s="22"/>
      <c r="B75" s="37"/>
      <c r="C75" s="38"/>
      <c r="D75" s="38"/>
      <c r="E75" s="38"/>
      <c r="F75" s="38"/>
      <c r="G75" s="38"/>
      <c r="H75" s="38"/>
    </row>
    <row r="76" spans="1:10" ht="18" customHeight="1" outlineLevel="1">
      <c r="A76" s="149" t="s">
        <v>19</v>
      </c>
      <c r="B76" s="13">
        <f>init_pfd_recips</f>
        <v>654000</v>
      </c>
      <c r="C76" s="13">
        <f>B76*(1+div_growth)</f>
        <v>659755.19999999995</v>
      </c>
      <c r="D76" s="13">
        <f>C76*(1+div_growth)</f>
        <v>665561.04575999989</v>
      </c>
      <c r="E76" s="13">
        <f>D76*(1+div_growth)</f>
        <v>671417.98296268785</v>
      </c>
      <c r="F76" s="13">
        <f>E76*(1+div_growth)</f>
        <v>677326.46121275949</v>
      </c>
      <c r="G76" s="13">
        <f>F76*(1+div_growth)</f>
        <v>683286.93407143175</v>
      </c>
      <c r="H76" s="13"/>
      <c r="I76" s="44"/>
    </row>
    <row r="77" spans="1:10" ht="15" outlineLevel="1">
      <c r="A77" s="12"/>
      <c r="C77" s="136"/>
      <c r="D77" s="20"/>
      <c r="E77" s="20"/>
      <c r="F77" s="20"/>
      <c r="G77" s="20"/>
      <c r="H77" s="20"/>
      <c r="I77" s="44"/>
    </row>
    <row r="78" spans="1:10" ht="18" customHeight="1" outlineLevel="1">
      <c r="A78" s="149" t="s">
        <v>481</v>
      </c>
      <c r="C78" s="13">
        <f>-'PF Model'!H110</f>
        <v>0</v>
      </c>
      <c r="D78" s="13">
        <f>-'PF Model'!I110</f>
        <v>0</v>
      </c>
      <c r="E78" s="13">
        <f>-'PF Model'!J110</f>
        <v>0</v>
      </c>
      <c r="F78" s="13">
        <f>-'PF Model'!K110</f>
        <v>0</v>
      </c>
      <c r="G78" s="13">
        <f>-'PF Model'!L110</f>
        <v>0</v>
      </c>
      <c r="H78" s="13"/>
      <c r="I78" s="44"/>
    </row>
    <row r="79" spans="1:10" ht="18" customHeight="1" outlineLevel="1">
      <c r="A79" s="31" t="s">
        <v>482</v>
      </c>
      <c r="B79" s="31"/>
      <c r="C79" s="188">
        <f>-C39</f>
        <v>833.47110000000009</v>
      </c>
      <c r="D79" s="188">
        <f>-D39</f>
        <v>883.57975171761143</v>
      </c>
      <c r="E79" s="188">
        <f>-E39</f>
        <v>878.80380804551908</v>
      </c>
      <c r="F79" s="188">
        <f>-F39</f>
        <v>899.53658454454569</v>
      </c>
      <c r="G79" s="188">
        <f>-G39</f>
        <v>919.82579405078911</v>
      </c>
      <c r="H79" s="13"/>
      <c r="I79" s="44"/>
    </row>
    <row r="80" spans="1:10" ht="18" customHeight="1" outlineLevel="1">
      <c r="A80" s="149" t="s">
        <v>483</v>
      </c>
      <c r="C80" s="13">
        <f>SUM(C78:C79)</f>
        <v>833.47110000000009</v>
      </c>
      <c r="D80" s="13">
        <f t="shared" ref="D80:G80" si="10">SUM(D78:D79)</f>
        <v>883.57975171761143</v>
      </c>
      <c r="E80" s="13">
        <f t="shared" si="10"/>
        <v>878.80380804551908</v>
      </c>
      <c r="F80" s="13">
        <f t="shared" si="10"/>
        <v>899.53658454454569</v>
      </c>
      <c r="G80" s="13">
        <f t="shared" si="10"/>
        <v>919.82579405078911</v>
      </c>
      <c r="H80" s="13"/>
      <c r="I80" s="44"/>
    </row>
    <row r="81" spans="1:9" ht="18" customHeight="1" outlineLevel="1">
      <c r="A81" s="10" t="s">
        <v>36</v>
      </c>
      <c r="B81" s="50">
        <f>div_expenses</f>
        <v>27</v>
      </c>
      <c r="I81" s="44"/>
    </row>
    <row r="82" spans="1:9" ht="18" customHeight="1" outlineLevel="1">
      <c r="A82" s="149" t="s">
        <v>230</v>
      </c>
      <c r="C82" s="15">
        <f>C80-div_expenses</f>
        <v>806.47110000000009</v>
      </c>
      <c r="D82" s="15">
        <f>D80-div_expenses</f>
        <v>856.57975171761143</v>
      </c>
      <c r="E82" s="15">
        <f>E80-div_expenses</f>
        <v>851.80380804551908</v>
      </c>
      <c r="F82" s="15">
        <f>F80-div_expenses</f>
        <v>872.53658454454569</v>
      </c>
      <c r="G82" s="15">
        <f>G80-div_expenses</f>
        <v>892.82579405078911</v>
      </c>
      <c r="H82" s="15"/>
      <c r="I82" s="44"/>
    </row>
    <row r="83" spans="1:9" ht="18" customHeight="1" outlineLevel="1">
      <c r="A83" s="149" t="s">
        <v>713</v>
      </c>
      <c r="C83" s="15">
        <f>IF(delay_HB365,0,MAX(0,C76*C22/1000000-C82))</f>
        <v>18.222899999999868</v>
      </c>
      <c r="D83" s="15">
        <f>IF(delay_HB365,0,MAX(0,D76*D22/1000000-D82))</f>
        <v>0</v>
      </c>
      <c r="E83" s="15">
        <f>IF(delay_HB365,0,MAX(0,E76*E22/1000000-E82))</f>
        <v>0</v>
      </c>
      <c r="F83" s="15">
        <f>IF(delay_HB365,0,MAX(0,F76*F22/1000000-F82))</f>
        <v>0</v>
      </c>
      <c r="G83" s="15">
        <f>IF(delay_HB365,0,MAX(0,G76*G22/1000000-G82))</f>
        <v>0</v>
      </c>
      <c r="H83" s="15"/>
      <c r="I83" s="44"/>
    </row>
    <row r="84" spans="1:9" ht="18" customHeight="1" outlineLevel="1">
      <c r="A84" s="149" t="s">
        <v>37</v>
      </c>
      <c r="C84" s="38">
        <f>MIN((C82+C83)*1000000/C76, IF(delay_HB365, 9999,$B$31))</f>
        <v>1250</v>
      </c>
      <c r="D84" s="38">
        <f>MIN($B$31,(D82+D83)*1000000/D76)</f>
        <v>1287.0040354292198</v>
      </c>
      <c r="E84" s="38">
        <f t="shared" ref="E84:G84" si="11">MIN($B$31,(E82+E83)*1000000/E76)</f>
        <v>1268.6639763309047</v>
      </c>
      <c r="F84" s="38">
        <f t="shared" si="11"/>
        <v>1288.2068463444652</v>
      </c>
      <c r="G84" s="38">
        <f t="shared" si="11"/>
        <v>1306.6630569544184</v>
      </c>
      <c r="H84" s="38"/>
      <c r="I84" s="44"/>
    </row>
    <row r="85" spans="1:9" ht="18" customHeight="1" outlineLevel="1">
      <c r="A85" s="149" t="s">
        <v>372</v>
      </c>
      <c r="C85" s="15">
        <f>C82+C83-C84*C76/1000000</f>
        <v>0</v>
      </c>
      <c r="D85" s="15">
        <f t="shared" ref="D85:G85" si="12">D82+D83-D84*D76/1000000</f>
        <v>0</v>
      </c>
      <c r="E85" s="15">
        <f t="shared" si="12"/>
        <v>0</v>
      </c>
      <c r="F85" s="15">
        <f t="shared" si="12"/>
        <v>0</v>
      </c>
      <c r="G85" s="15">
        <f t="shared" si="12"/>
        <v>0</v>
      </c>
    </row>
  </sheetData>
  <pageMargins left="0.7" right="0.56000000000000005" top="0.5" bottom="0.42" header="0.19" footer="0.13"/>
  <pageSetup scale="68" orientation="portrait" horizontalDpi="4294967293" verticalDpi="4294967293" r:id="rId1"/>
  <headerFooter>
    <oddHeader>&amp;L&amp;A Sheet&amp;C&amp;"-,Bold"&amp;16Alaska Economy Choices&amp;RPage &amp;P of &amp;N</oddHeader>
    <oddFooter>&amp;L&amp;Z&amp;F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67" r:id="rId4" name="Check Box 7">
              <controlPr defaultSize="0" autoFill="0" autoLine="0" autoPict="0" altText=" Eliminate Inflation Proofing (not in bill)">
                <anchor moveWithCells="1">
                  <from>
                    <xdr:col>16</xdr:col>
                    <xdr:colOff>66675</xdr:colOff>
                    <xdr:row>19</xdr:row>
                    <xdr:rowOff>38100</xdr:rowOff>
                  </from>
                  <to>
                    <xdr:col>20</xdr:col>
                    <xdr:colOff>66675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74" r:id="rId5" name="Check Box 14">
              <controlPr defaultSize="0" autoFill="0" autoLine="0" autoPict="0" altText=" Eliminate Inflation Proofing (not in bill)">
                <anchor moveWithCells="1">
                  <from>
                    <xdr:col>0</xdr:col>
                    <xdr:colOff>276225</xdr:colOff>
                    <xdr:row>19</xdr:row>
                    <xdr:rowOff>38100</xdr:rowOff>
                  </from>
                  <to>
                    <xdr:col>0</xdr:col>
                    <xdr:colOff>2714625</xdr:colOff>
                    <xdr:row>19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T43"/>
  <sheetViews>
    <sheetView showGridLines="0" topLeftCell="A10" zoomScaleNormal="100" workbookViewId="0">
      <selection activeCell="I11" sqref="I11"/>
    </sheetView>
  </sheetViews>
  <sheetFormatPr defaultColWidth="9.140625" defaultRowHeight="15"/>
  <cols>
    <col min="1" max="19" width="9.140625" style="149"/>
    <col min="20" max="20" width="10.5703125" style="149" bestFit="1" customWidth="1"/>
    <col min="21" max="16384" width="9.140625" style="149"/>
  </cols>
  <sheetData>
    <row r="1" spans="1:17" ht="23.25" hidden="1">
      <c r="A1" s="390"/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</row>
    <row r="2" spans="1:17" ht="17.25" hidden="1">
      <c r="A2" s="55"/>
    </row>
    <row r="3" spans="1:17" ht="15.75" hidden="1">
      <c r="A3" s="40"/>
    </row>
    <row r="4" spans="1:17">
      <c r="A4" s="12" t="s">
        <v>150</v>
      </c>
    </row>
    <row r="5" spans="1:17" ht="20.25" customHeight="1">
      <c r="F5" s="36"/>
      <c r="G5" s="42" t="s">
        <v>0</v>
      </c>
      <c r="H5" s="43" t="s">
        <v>12</v>
      </c>
      <c r="I5" s="42" t="s">
        <v>13</v>
      </c>
      <c r="J5" s="43" t="s">
        <v>14</v>
      </c>
      <c r="K5" s="42" t="s">
        <v>15</v>
      </c>
      <c r="L5" s="43" t="s">
        <v>301</v>
      </c>
    </row>
    <row r="6" spans="1:17">
      <c r="F6" s="36" t="s">
        <v>101</v>
      </c>
      <c r="G6" s="83">
        <f>'HB 115'!B5</f>
        <v>46.81</v>
      </c>
      <c r="H6" s="83">
        <f>'HB 115'!C5</f>
        <v>54</v>
      </c>
      <c r="I6" s="83">
        <f>'HB 115'!D5</f>
        <v>60</v>
      </c>
      <c r="J6" s="83">
        <f>'HB 115'!E5</f>
        <v>63</v>
      </c>
      <c r="K6" s="83">
        <f>'HB 115'!F5</f>
        <v>67</v>
      </c>
      <c r="L6" s="83">
        <f>'HB 115'!G5</f>
        <v>71</v>
      </c>
    </row>
    <row r="7" spans="1:17">
      <c r="F7" s="36" t="s">
        <v>652</v>
      </c>
      <c r="G7" s="83"/>
      <c r="H7" s="83">
        <f>SUM('HB 115'!C44:C53)</f>
        <v>0</v>
      </c>
      <c r="I7" s="83">
        <f>SUM('HB 115'!D44:D53)</f>
        <v>0</v>
      </c>
      <c r="J7" s="83">
        <f>SUM('HB 115'!E44:E53)</f>
        <v>0</v>
      </c>
      <c r="K7" s="83">
        <f>SUM('HB 115'!F44:F53)</f>
        <v>0</v>
      </c>
      <c r="L7" s="83">
        <f>SUM('HB 115'!G44:G53)</f>
        <v>0</v>
      </c>
    </row>
    <row r="8" spans="1:17">
      <c r="F8" s="36"/>
      <c r="G8" s="41"/>
      <c r="H8" s="41"/>
      <c r="I8" s="41"/>
      <c r="J8" s="41"/>
      <c r="K8" s="41"/>
      <c r="L8" s="41"/>
    </row>
    <row r="19" spans="20:20">
      <c r="T19" s="13"/>
    </row>
    <row r="20" spans="20:20">
      <c r="T20" s="13"/>
    </row>
    <row r="43" spans="10:10" ht="15.75">
      <c r="J43" s="25"/>
    </row>
  </sheetData>
  <mergeCells count="1">
    <mergeCell ref="A1:Q1"/>
  </mergeCells>
  <pageMargins left="0.7" right="0.7" top="0.75" bottom="0.75" header="0.3" footer="0.3"/>
  <pageSetup scale="78" orientation="landscape" horizontalDpi="4294967293" verticalDpi="4294967293" r:id="rId1"/>
  <headerFooter>
    <oddHeader>&amp;L&amp;A&amp;C&amp;"-,Bold"&amp;14Alaska Economy Choices&amp;RPage &amp;P of &amp;N</oddHeader>
    <oddFooter>&amp;L&amp;Z&amp;F</oddFooter>
  </headerFooter>
  <colBreaks count="1" manualBreakCount="1">
    <brk id="8" max="1048575" man="1"/>
  </colBreaks>
  <ignoredErrors>
    <ignoredError sqref="H7:L7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O94"/>
  <sheetViews>
    <sheetView zoomScale="120" zoomScaleNormal="120" workbookViewId="0"/>
  </sheetViews>
  <sheetFormatPr defaultColWidth="9.140625" defaultRowHeight="18" customHeight="1" outlineLevelRow="1"/>
  <cols>
    <col min="1" max="1" width="52.140625" style="149" customWidth="1"/>
    <col min="2" max="7" width="13.7109375" style="149" customWidth="1"/>
    <col min="8" max="8" width="1.28515625" style="149" customWidth="1"/>
    <col min="9" max="9" width="6.140625" style="149" customWidth="1"/>
    <col min="10" max="10" width="12.28515625" style="149" customWidth="1"/>
    <col min="11" max="11" width="9.42578125" style="149" customWidth="1"/>
    <col min="12" max="16384" width="9.140625" style="149"/>
  </cols>
  <sheetData>
    <row r="1" spans="1:9" ht="18" customHeight="1">
      <c r="A1" s="12" t="s">
        <v>150</v>
      </c>
    </row>
    <row r="2" spans="1:9" ht="18" customHeight="1">
      <c r="A2" s="133" t="s">
        <v>752</v>
      </c>
    </row>
    <row r="3" spans="1:9" s="147" customFormat="1" ht="30">
      <c r="A3" s="266"/>
      <c r="B3" s="267" t="s">
        <v>4</v>
      </c>
      <c r="C3" s="267" t="s">
        <v>2</v>
      </c>
      <c r="D3" s="267" t="s">
        <v>3</v>
      </c>
      <c r="E3" s="267"/>
    </row>
    <row r="4" spans="1:9" s="147" customFormat="1" ht="18" customHeight="1">
      <c r="B4" s="268" t="s">
        <v>107</v>
      </c>
      <c r="C4" s="268" t="s">
        <v>108</v>
      </c>
      <c r="D4" s="268" t="s">
        <v>109</v>
      </c>
      <c r="E4" s="268" t="s">
        <v>110</v>
      </c>
      <c r="F4" s="268" t="s">
        <v>111</v>
      </c>
      <c r="G4" s="268" t="s">
        <v>285</v>
      </c>
      <c r="H4" s="269"/>
      <c r="I4" s="252"/>
    </row>
    <row r="5" spans="1:9" s="147" customFormat="1" ht="18" customHeight="1">
      <c r="A5" s="147" t="s">
        <v>620</v>
      </c>
      <c r="B5" s="270">
        <f>'Common Inputs'!B11</f>
        <v>46.81</v>
      </c>
      <c r="C5" s="270">
        <f>'Common Inputs'!C11</f>
        <v>54</v>
      </c>
      <c r="D5" s="270">
        <f>'Common Inputs'!D11</f>
        <v>60</v>
      </c>
      <c r="E5" s="270">
        <f>'Common Inputs'!E11</f>
        <v>63</v>
      </c>
      <c r="F5" s="270">
        <f>'Common Inputs'!F11</f>
        <v>67</v>
      </c>
      <c r="G5" s="270">
        <f>'Common Inputs'!G11</f>
        <v>71</v>
      </c>
      <c r="H5" s="271"/>
      <c r="I5" s="272" t="s">
        <v>186</v>
      </c>
    </row>
    <row r="6" spans="1:9" s="147" customFormat="1" ht="18" customHeight="1">
      <c r="A6" s="273" t="s">
        <v>52</v>
      </c>
      <c r="B6" s="274">
        <f>'Common Inputs'!B12</f>
        <v>505.8</v>
      </c>
      <c r="C6" s="274">
        <f>'Common Inputs'!C12</f>
        <v>469.7</v>
      </c>
      <c r="D6" s="274">
        <f>'Common Inputs'!D12</f>
        <v>457.8</v>
      </c>
      <c r="E6" s="274">
        <f>'Common Inputs'!E12</f>
        <v>443.1</v>
      </c>
      <c r="F6" s="274">
        <f>'Common Inputs'!F12</f>
        <v>426.5</v>
      </c>
      <c r="G6" s="274">
        <f>'Common Inputs'!G12</f>
        <v>410</v>
      </c>
      <c r="H6" s="275"/>
      <c r="I6" s="272" t="s">
        <v>186</v>
      </c>
    </row>
    <row r="7" spans="1:9" s="147" customFormat="1" ht="18" customHeight="1">
      <c r="A7" s="147" t="s">
        <v>58</v>
      </c>
      <c r="B7" s="276">
        <f>'HB61'!B7</f>
        <v>592.09999999999991</v>
      </c>
      <c r="C7" s="276">
        <f>'HB61'!C7</f>
        <v>645.39999999999986</v>
      </c>
      <c r="D7" s="276">
        <f>'HB61'!D7</f>
        <v>702.19999999999993</v>
      </c>
      <c r="E7" s="276">
        <f>'HB61'!E7</f>
        <v>713.09999999999991</v>
      </c>
      <c r="F7" s="276">
        <f>'HB61'!F7</f>
        <v>729.1</v>
      </c>
      <c r="G7" s="276">
        <f>'HB61'!G7</f>
        <v>747.00000000000011</v>
      </c>
      <c r="H7" s="276"/>
      <c r="I7" s="252"/>
    </row>
    <row r="8" spans="1:9" s="147" customFormat="1" ht="18" customHeight="1">
      <c r="A8" s="147" t="s">
        <v>59</v>
      </c>
      <c r="B8" s="276">
        <f>'HB61'!B8</f>
        <v>374.9</v>
      </c>
      <c r="C8" s="276">
        <f>'HB61'!C8</f>
        <v>454.4</v>
      </c>
      <c r="D8" s="276">
        <f>'HB61'!D8</f>
        <v>641.90000000000009</v>
      </c>
      <c r="E8" s="276">
        <f>'HB61'!E8</f>
        <v>647.40000000000009</v>
      </c>
      <c r="F8" s="276">
        <f>'HB61'!F8</f>
        <v>649.09999999999991</v>
      </c>
      <c r="G8" s="276">
        <f>'HB61'!G8</f>
        <v>683.7</v>
      </c>
      <c r="H8" s="276"/>
      <c r="I8" s="252"/>
    </row>
    <row r="9" spans="1:9" s="147" customFormat="1" ht="18" customHeight="1">
      <c r="A9" s="273" t="s">
        <v>346</v>
      </c>
      <c r="B9" s="276">
        <f>'HB61'!B9</f>
        <v>479.8</v>
      </c>
      <c r="C9" s="276">
        <f>'HB61'!C9</f>
        <v>524.29999999999995</v>
      </c>
      <c r="D9" s="276">
        <f>'HB61'!D9</f>
        <v>528.5</v>
      </c>
      <c r="E9" s="276">
        <f>'HB61'!E9</f>
        <v>546.20000000000005</v>
      </c>
      <c r="F9" s="276">
        <f>'HB61'!F9</f>
        <v>565.29999999999995</v>
      </c>
      <c r="G9" s="276">
        <f>'HB61'!G9</f>
        <v>581.70000000000005</v>
      </c>
      <c r="H9" s="275"/>
      <c r="I9" s="252"/>
    </row>
    <row r="10" spans="1:9" s="281" customFormat="1" ht="18" customHeight="1">
      <c r="A10" s="277" t="s">
        <v>6</v>
      </c>
      <c r="B10" s="278">
        <f>SUM(B7:B9)</f>
        <v>1446.8</v>
      </c>
      <c r="C10" s="278">
        <f t="shared" ref="C10:G10" si="0">SUM(C7:C9)</f>
        <v>1624.0999999999997</v>
      </c>
      <c r="D10" s="278">
        <f t="shared" si="0"/>
        <v>1872.6</v>
      </c>
      <c r="E10" s="278">
        <f t="shared" si="0"/>
        <v>1906.7</v>
      </c>
      <c r="F10" s="278">
        <f t="shared" si="0"/>
        <v>1943.4999999999998</v>
      </c>
      <c r="G10" s="278">
        <f t="shared" si="0"/>
        <v>2012.4000000000003</v>
      </c>
      <c r="H10" s="279"/>
      <c r="I10" s="280"/>
    </row>
    <row r="11" spans="1:9" s="281" customFormat="1" ht="18" customHeight="1">
      <c r="A11" s="281" t="s">
        <v>337</v>
      </c>
      <c r="B11" s="282">
        <f>'Common Inputs'!B24</f>
        <v>4246.8</v>
      </c>
      <c r="C11" s="282">
        <f>'Common Inputs'!C24</f>
        <v>4167.5</v>
      </c>
      <c r="D11" s="282">
        <f>'Common Inputs'!D24</f>
        <v>4150.2</v>
      </c>
      <c r="E11" s="282">
        <f>'Common Inputs'!E24</f>
        <v>4122.2</v>
      </c>
      <c r="F11" s="282">
        <f>'Common Inputs'!F24</f>
        <v>4217.5</v>
      </c>
      <c r="G11" s="282">
        <f>'Common Inputs'!G24</f>
        <v>4298.1000000000004</v>
      </c>
      <c r="H11" s="279"/>
      <c r="I11" s="272" t="s">
        <v>336</v>
      </c>
    </row>
    <row r="12" spans="1:9" s="281" customFormat="1" ht="18" customHeight="1">
      <c r="A12" s="281" t="s">
        <v>338</v>
      </c>
      <c r="B12" s="282">
        <f>'Common Inputs'!B26</f>
        <v>96.1</v>
      </c>
      <c r="C12" s="282">
        <f>'Common Inputs'!C26</f>
        <v>115.2</v>
      </c>
      <c r="D12" s="282">
        <f>'Common Inputs'!D26</f>
        <v>180</v>
      </c>
      <c r="E12" s="282">
        <f>'Common Inputs'!E26</f>
        <v>180</v>
      </c>
      <c r="F12" s="282">
        <f>'Common Inputs'!F26</f>
        <v>180</v>
      </c>
      <c r="G12" s="282">
        <f>'Common Inputs'!G26</f>
        <v>180</v>
      </c>
      <c r="H12" s="279"/>
      <c r="I12" s="272"/>
    </row>
    <row r="13" spans="1:9" s="281" customFormat="1" ht="18" customHeight="1">
      <c r="A13" s="283" t="s">
        <v>302</v>
      </c>
      <c r="B13" s="282">
        <f>'Common Inputs'!B35</f>
        <v>30</v>
      </c>
      <c r="C13" s="282">
        <f>'Common Inputs'!C35</f>
        <v>961</v>
      </c>
      <c r="D13" s="282">
        <f>'Common Inputs'!D35</f>
        <v>223</v>
      </c>
      <c r="E13" s="282">
        <f>'Common Inputs'!E35</f>
        <v>192</v>
      </c>
      <c r="F13" s="282">
        <f>'Common Inputs'!F35</f>
        <v>151</v>
      </c>
      <c r="G13" s="282">
        <f>'Common Inputs'!G35</f>
        <v>150</v>
      </c>
      <c r="H13" s="284"/>
      <c r="I13" s="280"/>
    </row>
    <row r="14" spans="1:9" s="281" customFormat="1" ht="18" customHeight="1">
      <c r="A14" s="285" t="s">
        <v>339</v>
      </c>
      <c r="B14" s="286">
        <f>'Common Inputs'!B25</f>
        <v>0</v>
      </c>
      <c r="C14" s="286">
        <f>'Common Inputs'!C25</f>
        <v>0</v>
      </c>
      <c r="D14" s="286">
        <f>'Common Inputs'!D25</f>
        <v>0</v>
      </c>
      <c r="E14" s="286">
        <f>'Common Inputs'!E25</f>
        <v>0</v>
      </c>
      <c r="F14" s="286">
        <f>'Common Inputs'!F25</f>
        <v>0</v>
      </c>
      <c r="G14" s="286">
        <f>'Common Inputs'!G25</f>
        <v>0</v>
      </c>
      <c r="H14" s="284"/>
      <c r="I14" s="280"/>
    </row>
    <row r="15" spans="1:9" s="281" customFormat="1" ht="18" customHeight="1">
      <c r="A15" s="283" t="s">
        <v>362</v>
      </c>
      <c r="B15" s="282">
        <f>SUM(B11:B14)</f>
        <v>4372.9000000000005</v>
      </c>
      <c r="C15" s="282">
        <f t="shared" ref="C15:G15" si="1">SUM(C11:C14)</f>
        <v>5243.7</v>
      </c>
      <c r="D15" s="282">
        <f t="shared" si="1"/>
        <v>4553.2</v>
      </c>
      <c r="E15" s="282">
        <f t="shared" si="1"/>
        <v>4494.2</v>
      </c>
      <c r="F15" s="282">
        <f t="shared" si="1"/>
        <v>4548.5</v>
      </c>
      <c r="G15" s="282">
        <f t="shared" si="1"/>
        <v>4628.1000000000004</v>
      </c>
      <c r="H15" s="284"/>
      <c r="I15" s="280"/>
    </row>
    <row r="16" spans="1:9" s="281" customFormat="1" ht="18" customHeight="1" thickBot="1">
      <c r="A16" s="287" t="s">
        <v>18</v>
      </c>
      <c r="B16" s="288">
        <f>B10-B15</f>
        <v>-2926.1000000000004</v>
      </c>
      <c r="C16" s="288">
        <f t="shared" ref="C16:G16" si="2">C10-C15</f>
        <v>-3619.6000000000004</v>
      </c>
      <c r="D16" s="288">
        <f t="shared" si="2"/>
        <v>-2680.6</v>
      </c>
      <c r="E16" s="288">
        <f t="shared" si="2"/>
        <v>-2587.5</v>
      </c>
      <c r="F16" s="288">
        <f t="shared" si="2"/>
        <v>-2605</v>
      </c>
      <c r="G16" s="288">
        <f t="shared" si="2"/>
        <v>-2615.6999999999998</v>
      </c>
      <c r="H16" s="279"/>
      <c r="I16" s="280"/>
    </row>
    <row r="17" spans="1:9" s="147" customFormat="1" ht="18" customHeight="1" thickTop="1">
      <c r="A17" s="228" t="s">
        <v>310</v>
      </c>
      <c r="B17" s="229"/>
      <c r="C17" s="229"/>
      <c r="D17" s="229"/>
      <c r="E17" s="229"/>
      <c r="F17" s="229"/>
      <c r="G17" s="229"/>
      <c r="H17" s="230"/>
      <c r="I17" s="231"/>
    </row>
    <row r="18" spans="1:9" s="147" customFormat="1" ht="18" customHeight="1">
      <c r="A18" s="235"/>
      <c r="B18" s="236"/>
      <c r="C18" s="268" t="s">
        <v>108</v>
      </c>
      <c r="D18" s="268" t="s">
        <v>109</v>
      </c>
      <c r="E18" s="268" t="s">
        <v>110</v>
      </c>
      <c r="F18" s="268" t="s">
        <v>111</v>
      </c>
      <c r="G18" s="268" t="s">
        <v>285</v>
      </c>
      <c r="H18" s="234"/>
      <c r="I18" s="231"/>
    </row>
    <row r="19" spans="1:9" s="147" customFormat="1" ht="18" customHeight="1">
      <c r="A19" s="232" t="s">
        <v>461</v>
      </c>
      <c r="C19" s="237">
        <v>5.2499999999999998E-2</v>
      </c>
      <c r="D19" s="237">
        <v>5.2499999999999998E-2</v>
      </c>
      <c r="E19" s="363">
        <v>5.2499999999999998E-2</v>
      </c>
      <c r="F19" s="237">
        <v>0.05</v>
      </c>
      <c r="G19" s="237">
        <v>0.05</v>
      </c>
      <c r="H19" s="234"/>
      <c r="I19" s="231"/>
    </row>
    <row r="20" spans="1:9" s="147" customFormat="1" ht="18" customHeight="1">
      <c r="A20" s="376" t="s">
        <v>644</v>
      </c>
      <c r="C20" s="237"/>
      <c r="D20" s="237"/>
      <c r="E20" s="363" t="s">
        <v>728</v>
      </c>
      <c r="F20" s="237"/>
      <c r="G20" s="237"/>
      <c r="H20" s="234"/>
      <c r="I20" s="231"/>
    </row>
    <row r="21" spans="1:9" s="147" customFormat="1" ht="18" customHeight="1">
      <c r="A21" s="232"/>
      <c r="C21" s="237"/>
      <c r="D21" s="237"/>
      <c r="E21" s="374" t="s">
        <v>741</v>
      </c>
      <c r="F21" s="237"/>
      <c r="G21" s="237"/>
      <c r="H21" s="234"/>
      <c r="I21" s="231"/>
    </row>
    <row r="22" spans="1:9" s="147" customFormat="1" ht="8.25" customHeight="1">
      <c r="A22" s="232"/>
      <c r="B22" s="237"/>
      <c r="C22" s="236"/>
      <c r="G22" s="233"/>
      <c r="H22" s="234"/>
      <c r="I22" s="231"/>
    </row>
    <row r="23" spans="1:9" s="147" customFormat="1" ht="18" customHeight="1">
      <c r="A23" s="232" t="s">
        <v>311</v>
      </c>
      <c r="B23" s="365">
        <v>1200</v>
      </c>
      <c r="C23" s="236" t="s">
        <v>71</v>
      </c>
      <c r="D23" s="373" t="s">
        <v>729</v>
      </c>
      <c r="E23" s="233"/>
      <c r="F23" s="233"/>
      <c r="G23" s="233"/>
      <c r="H23" s="234"/>
      <c r="I23" s="231"/>
    </row>
    <row r="24" spans="1:9" s="147" customFormat="1" ht="18" customHeight="1">
      <c r="A24" s="232" t="s">
        <v>732</v>
      </c>
      <c r="B24" s="368">
        <v>1</v>
      </c>
      <c r="C24" s="263" t="s">
        <v>733</v>
      </c>
      <c r="D24" s="364"/>
      <c r="E24" s="233"/>
      <c r="F24" s="233"/>
      <c r="G24" s="233"/>
      <c r="H24" s="234"/>
      <c r="I24" s="231"/>
    </row>
    <row r="25" spans="1:9" s="147" customFormat="1" ht="15">
      <c r="A25" s="232"/>
      <c r="B25" s="143"/>
      <c r="C25" s="143"/>
      <c r="D25" s="233"/>
      <c r="E25" s="233"/>
      <c r="F25" s="233"/>
      <c r="G25" s="233"/>
      <c r="H25" s="234"/>
      <c r="I25" s="231"/>
    </row>
    <row r="26" spans="1:9" s="147" customFormat="1" ht="8.25" customHeight="1">
      <c r="A26" s="232"/>
      <c r="B26" s="233"/>
      <c r="C26" s="233"/>
      <c r="D26" s="233"/>
      <c r="E26" s="233"/>
      <c r="F26" s="233"/>
      <c r="G26" s="233"/>
      <c r="H26" s="234"/>
      <c r="I26" s="231"/>
    </row>
    <row r="27" spans="1:9" s="147" customFormat="1" ht="15">
      <c r="A27" s="143" t="s">
        <v>710</v>
      </c>
      <c r="B27" s="375">
        <v>0</v>
      </c>
      <c r="C27" s="236" t="s">
        <v>740</v>
      </c>
      <c r="D27" s="233"/>
      <c r="E27" s="233"/>
      <c r="F27" s="233"/>
      <c r="G27" s="233"/>
      <c r="H27" s="234"/>
      <c r="I27" s="231"/>
    </row>
    <row r="28" spans="1:9" s="147" customFormat="1" ht="18" customHeight="1">
      <c r="A28" s="232" t="s">
        <v>234</v>
      </c>
      <c r="B28" s="242">
        <v>4</v>
      </c>
      <c r="C28" s="236" t="s">
        <v>466</v>
      </c>
      <c r="D28" s="233"/>
      <c r="E28" s="233"/>
      <c r="F28" s="233"/>
      <c r="G28" s="233"/>
      <c r="H28" s="234"/>
      <c r="I28" s="231"/>
    </row>
    <row r="29" spans="1:9" s="147" customFormat="1" ht="18" customHeight="1">
      <c r="A29" s="143"/>
      <c r="B29" s="242"/>
      <c r="C29" s="236" t="s">
        <v>716</v>
      </c>
      <c r="D29" s="233"/>
      <c r="E29" s="233"/>
      <c r="F29" s="233"/>
      <c r="G29" s="233"/>
      <c r="H29" s="234"/>
      <c r="I29" s="231"/>
    </row>
    <row r="30" spans="1:9" s="147" customFormat="1" ht="18" customHeight="1">
      <c r="A30" s="143" t="s">
        <v>718</v>
      </c>
      <c r="B30" s="367">
        <v>0</v>
      </c>
      <c r="C30" s="180" t="s">
        <v>71</v>
      </c>
      <c r="D30" s="372" t="s">
        <v>731</v>
      </c>
      <c r="E30" s="233"/>
      <c r="F30" s="233"/>
      <c r="G30" s="233"/>
      <c r="H30" s="234"/>
      <c r="I30" s="231"/>
    </row>
    <row r="31" spans="1:9" s="147" customFormat="1" ht="6" customHeight="1">
      <c r="A31" s="143"/>
      <c r="B31" s="367"/>
      <c r="C31" s="180"/>
      <c r="D31" s="372"/>
      <c r="E31" s="233"/>
      <c r="F31" s="233"/>
      <c r="G31" s="233"/>
      <c r="H31" s="234"/>
      <c r="I31" s="231"/>
    </row>
    <row r="32" spans="1:9" s="147" customFormat="1" ht="18" customHeight="1" thickBot="1">
      <c r="A32" s="232" t="str">
        <f>"Default FY18+ CBR Return is "&amp;TEXT(return_cbr, "0.00%")&amp;"."</f>
        <v>Default FY18+ CBR Return is 2.89%.</v>
      </c>
      <c r="B32" s="239"/>
      <c r="C32" s="143"/>
      <c r="D32" s="143"/>
      <c r="E32" s="143"/>
      <c r="F32" s="233"/>
      <c r="G32" s="233"/>
      <c r="H32" s="234"/>
      <c r="I32" s="231"/>
    </row>
    <row r="33" spans="1:15" s="147" customFormat="1" ht="18" customHeight="1" thickBot="1">
      <c r="A33" s="232" t="s">
        <v>313</v>
      </c>
      <c r="B33" s="240"/>
      <c r="C33" s="241" t="s">
        <v>206</v>
      </c>
      <c r="D33" s="143"/>
      <c r="E33" s="233"/>
      <c r="F33" s="233"/>
      <c r="G33" s="233"/>
      <c r="H33" s="234"/>
      <c r="I33" s="231"/>
    </row>
    <row r="34" spans="1:15" s="147" customFormat="1" ht="15">
      <c r="A34" s="232"/>
      <c r="B34" s="233"/>
      <c r="C34" s="233"/>
      <c r="D34" s="233"/>
      <c r="E34" s="233"/>
      <c r="F34" s="233"/>
      <c r="G34" s="233"/>
      <c r="H34" s="234"/>
      <c r="I34" s="231"/>
    </row>
    <row r="35" spans="1:15" s="147" customFormat="1" ht="15.75">
      <c r="A35" s="163" t="s">
        <v>312</v>
      </c>
      <c r="B35" s="143"/>
      <c r="C35" s="143"/>
      <c r="D35" s="143"/>
      <c r="E35" s="143"/>
      <c r="F35" s="233"/>
      <c r="G35" s="233"/>
      <c r="H35" s="234"/>
      <c r="I35" s="231"/>
    </row>
    <row r="36" spans="1:15" s="147" customFormat="1" ht="18" customHeight="1">
      <c r="A36" s="164" t="s">
        <v>269</v>
      </c>
      <c r="B36" s="366">
        <v>0.25</v>
      </c>
      <c r="C36" s="54" t="s">
        <v>730</v>
      </c>
      <c r="D36" s="143"/>
      <c r="E36" s="143"/>
      <c r="F36" s="233"/>
      <c r="G36" s="233"/>
      <c r="H36" s="234"/>
      <c r="I36" s="231"/>
    </row>
    <row r="37" spans="1:15" s="147" customFormat="1" ht="8.25" customHeight="1">
      <c r="A37" s="164"/>
      <c r="B37" s="243"/>
      <c r="C37" s="143"/>
      <c r="D37" s="371"/>
      <c r="E37" s="143"/>
      <c r="F37" s="233"/>
      <c r="G37" s="233"/>
      <c r="H37" s="234"/>
      <c r="I37" s="231"/>
    </row>
    <row r="38" spans="1:15" s="147" customFormat="1" ht="18" customHeight="1">
      <c r="A38" s="164" t="s">
        <v>734</v>
      </c>
      <c r="B38" s="369">
        <v>1000</v>
      </c>
      <c r="C38" s="370" t="s">
        <v>737</v>
      </c>
      <c r="D38" s="54" t="s">
        <v>738</v>
      </c>
      <c r="E38" s="143"/>
      <c r="F38" s="233"/>
      <c r="G38" s="233"/>
      <c r="H38" s="234"/>
      <c r="I38" s="231"/>
    </row>
    <row r="39" spans="1:15" s="147" customFormat="1" ht="18" customHeight="1">
      <c r="A39" s="164" t="s">
        <v>735</v>
      </c>
      <c r="B39" s="369">
        <v>1000</v>
      </c>
      <c r="C39" s="370" t="s">
        <v>737</v>
      </c>
      <c r="D39" s="54" t="s">
        <v>738</v>
      </c>
      <c r="E39" s="143"/>
      <c r="F39" s="233"/>
      <c r="G39" s="233"/>
      <c r="H39" s="234"/>
      <c r="I39" s="231"/>
    </row>
    <row r="40" spans="1:15" s="147" customFormat="1" ht="18" customHeight="1">
      <c r="A40" s="164" t="s">
        <v>736</v>
      </c>
      <c r="B40" s="369">
        <v>1000</v>
      </c>
      <c r="C40" s="370" t="s">
        <v>737</v>
      </c>
      <c r="D40" s="54" t="s">
        <v>739</v>
      </c>
      <c r="E40" s="143"/>
      <c r="F40" s="233"/>
      <c r="G40" s="233"/>
      <c r="H40" s="234"/>
      <c r="I40" s="231"/>
    </row>
    <row r="41" spans="1:15" s="147" customFormat="1" ht="8.25" customHeight="1" thickBot="1">
      <c r="A41" s="247"/>
      <c r="B41" s="248"/>
      <c r="C41" s="248"/>
      <c r="D41" s="248"/>
      <c r="E41" s="248"/>
      <c r="F41" s="248"/>
      <c r="G41" s="248"/>
      <c r="H41" s="249"/>
      <c r="I41" s="231"/>
    </row>
    <row r="42" spans="1:15" s="147" customFormat="1" ht="18" customHeight="1" thickTop="1">
      <c r="A42" s="250" t="s">
        <v>5</v>
      </c>
      <c r="B42" s="318" t="s">
        <v>721</v>
      </c>
      <c r="C42" s="318" t="s">
        <v>551</v>
      </c>
      <c r="D42" s="318" t="s">
        <v>552</v>
      </c>
      <c r="E42" s="318" t="s">
        <v>553</v>
      </c>
      <c r="F42" s="318" t="s">
        <v>554</v>
      </c>
      <c r="G42" s="318" t="s">
        <v>555</v>
      </c>
      <c r="H42" s="251"/>
      <c r="I42" s="252"/>
    </row>
    <row r="43" spans="1:15" s="147" customFormat="1" ht="18" customHeight="1">
      <c r="A43" s="232" t="s">
        <v>231</v>
      </c>
      <c r="B43" s="236"/>
      <c r="C43" s="236">
        <f>C19*(AVERAGE('PF Model'!B130:F130)-425)</f>
        <v>2525.67</v>
      </c>
      <c r="D43" s="236">
        <f>D19*(AVERAGE('PF Model'!C130:G130)-425)</f>
        <v>2695.2593991442768</v>
      </c>
      <c r="E43" s="236">
        <f>E19*(AVERAGE('PF Model'!D130:H130)-425)</f>
        <v>2833.1085526402876</v>
      </c>
      <c r="F43" s="236">
        <f>F19*(AVERAGE('PF Model'!E130:I130)-425)</f>
        <v>2780.3733921542748</v>
      </c>
      <c r="G43" s="236">
        <f>G19*(AVERAGE('PF Model'!F130:J130)-425)</f>
        <v>2860.8480514154812</v>
      </c>
      <c r="H43" s="253"/>
      <c r="J43" s="340"/>
      <c r="K43" s="254"/>
      <c r="L43" s="254"/>
      <c r="M43" s="254"/>
      <c r="N43" s="254"/>
      <c r="O43" s="254"/>
    </row>
    <row r="44" spans="1:15" s="147" customFormat="1" ht="18" customHeight="1">
      <c r="A44" s="232" t="s">
        <v>232</v>
      </c>
      <c r="B44" s="236"/>
      <c r="C44" s="236">
        <f>MAX(-C43*(1-$B$36),MIN(-$B$24*((C7+C45)+'HB61'!C29-$B$23),0))</f>
        <v>0</v>
      </c>
      <c r="D44" s="236">
        <f>MAX(-D43*(1-$B$36),MIN(-$B$24*((D7+D45)+'HB61'!D29-$B$23),0))</f>
        <v>0</v>
      </c>
      <c r="E44" s="236">
        <f>MAX(-E43*(1-$B$36),MIN(-$B$24*((E7+E45)+'HB61'!E29-$B$23),0))</f>
        <v>0</v>
      </c>
      <c r="F44" s="236">
        <f>MAX(-F43*(1-$B$36),MIN(-$B$24*((F7+F45)+'HB61'!F29-$B$23),0))</f>
        <v>0</v>
      </c>
      <c r="G44" s="236">
        <f>MAX(-G43*(1-$B$36),MIN(-$B$24*((G7+G45)+'HB61'!G29-$B$23),0))</f>
        <v>0</v>
      </c>
      <c r="H44" s="253"/>
      <c r="J44" s="254"/>
      <c r="K44" s="254"/>
      <c r="L44" s="254"/>
      <c r="M44" s="254"/>
      <c r="N44" s="254"/>
      <c r="O44" s="254"/>
    </row>
    <row r="45" spans="1:15" s="147" customFormat="1" ht="18" customHeight="1">
      <c r="A45" s="232" t="s">
        <v>233</v>
      </c>
      <c r="B45" s="236"/>
      <c r="C45" s="236">
        <f>(0.745-'HB61'!C24)*'HB61'!C23</f>
        <v>53.299204905205528</v>
      </c>
      <c r="D45" s="236">
        <f>(0.745-'HB61'!D24)*'HB61'!D23</f>
        <v>60.441075780784651</v>
      </c>
      <c r="E45" s="236">
        <f>(0.745-'HB61'!E24)*'HB61'!E23</f>
        <v>68.849448204810045</v>
      </c>
      <c r="F45" s="236">
        <f>(0.745-'HB61'!F24)*'HB61'!F23</f>
        <v>76.020848365385831</v>
      </c>
      <c r="G45" s="236">
        <f>(0.745-'HB61'!G24)*'HB61'!G23</f>
        <v>74.925696000173815</v>
      </c>
      <c r="H45" s="253"/>
      <c r="J45" s="254"/>
      <c r="K45" s="254"/>
      <c r="L45" s="254"/>
      <c r="M45" s="254"/>
      <c r="N45" s="254"/>
      <c r="O45" s="254"/>
    </row>
    <row r="46" spans="1:15" s="147" customFormat="1" ht="18" customHeight="1">
      <c r="A46" s="232" t="s">
        <v>743</v>
      </c>
      <c r="B46" s="236"/>
      <c r="C46" s="236">
        <f>-C88</f>
        <v>-686.75519999999995</v>
      </c>
      <c r="D46" s="236">
        <f t="shared" ref="D46:G46" si="3">-D88</f>
        <v>-692.56104575999984</v>
      </c>
      <c r="E46" s="236">
        <f t="shared" si="3"/>
        <v>-698.4179829626878</v>
      </c>
      <c r="F46" s="236">
        <f t="shared" si="3"/>
        <v>-695.09334803856871</v>
      </c>
      <c r="G46" s="236">
        <f t="shared" si="3"/>
        <v>-715.21201285387031</v>
      </c>
      <c r="H46" s="253"/>
      <c r="J46" s="254"/>
      <c r="K46" s="254"/>
      <c r="L46" s="254"/>
      <c r="M46" s="254"/>
      <c r="N46" s="254"/>
      <c r="O46" s="254"/>
    </row>
    <row r="47" spans="1:15" s="147" customFormat="1" ht="18" customHeight="1" thickBot="1">
      <c r="A47" s="186" t="s">
        <v>720</v>
      </c>
      <c r="B47" s="236">
        <f>B30</f>
        <v>0</v>
      </c>
      <c r="C47" s="236"/>
      <c r="D47" s="236"/>
      <c r="E47" s="236"/>
      <c r="F47" s="236"/>
      <c r="G47" s="236"/>
      <c r="H47" s="253"/>
    </row>
    <row r="48" spans="1:15" s="147" customFormat="1" ht="18" customHeight="1" thickTop="1">
      <c r="A48" s="256" t="s">
        <v>204</v>
      </c>
      <c r="B48" s="257"/>
      <c r="C48" s="257"/>
      <c r="D48" s="257"/>
      <c r="E48" s="257"/>
      <c r="F48" s="257"/>
      <c r="G48" s="257"/>
      <c r="H48" s="253"/>
    </row>
    <row r="49" spans="1:14" s="147" customFormat="1" ht="18" customHeight="1">
      <c r="A49" s="258"/>
      <c r="B49" s="257"/>
      <c r="C49" s="257"/>
      <c r="D49" s="257"/>
      <c r="E49" s="257"/>
      <c r="F49" s="257"/>
      <c r="G49" s="257"/>
      <c r="H49" s="259"/>
      <c r="J49" s="257"/>
      <c r="K49" s="257"/>
      <c r="L49" s="257"/>
      <c r="M49" s="257"/>
      <c r="N49" s="257"/>
    </row>
    <row r="50" spans="1:14" s="147" customFormat="1" ht="45">
      <c r="A50" s="377" t="s">
        <v>751</v>
      </c>
      <c r="B50" s="257"/>
      <c r="C50" s="257"/>
      <c r="D50" s="257"/>
      <c r="E50" s="257"/>
      <c r="F50" s="257"/>
      <c r="G50" s="257"/>
      <c r="H50" s="259"/>
      <c r="J50" s="257">
        <v>0</v>
      </c>
      <c r="K50" s="257">
        <v>336</v>
      </c>
      <c r="L50" s="257">
        <v>679</v>
      </c>
      <c r="M50" s="257">
        <v>684</v>
      </c>
      <c r="N50" s="257">
        <v>689</v>
      </c>
    </row>
    <row r="51" spans="1:14" s="147" customFormat="1" ht="18" customHeight="1">
      <c r="A51" s="258"/>
      <c r="B51" s="257"/>
      <c r="C51" s="257"/>
      <c r="D51" s="257"/>
      <c r="E51" s="257"/>
      <c r="F51" s="257"/>
      <c r="G51" s="257"/>
      <c r="H51" s="259"/>
    </row>
    <row r="52" spans="1:14" s="147" customFormat="1" ht="18" customHeight="1">
      <c r="A52" s="258"/>
      <c r="B52" s="257"/>
      <c r="C52" s="257"/>
      <c r="D52" s="257"/>
      <c r="E52" s="257"/>
      <c r="F52" s="257"/>
      <c r="G52" s="257"/>
      <c r="H52" s="259"/>
      <c r="J52" s="257"/>
      <c r="K52" s="257"/>
      <c r="L52" s="257"/>
      <c r="M52" s="257"/>
      <c r="N52" s="257"/>
    </row>
    <row r="53" spans="1:14" s="147" customFormat="1" ht="18" customHeight="1">
      <c r="A53" s="258"/>
      <c r="B53" s="257"/>
      <c r="C53" s="257"/>
      <c r="D53" s="257"/>
      <c r="E53" s="257"/>
      <c r="F53" s="257"/>
      <c r="G53" s="257"/>
      <c r="H53" s="259"/>
      <c r="J53" s="257"/>
      <c r="K53" s="257"/>
      <c r="L53" s="257"/>
      <c r="M53" s="257"/>
      <c r="N53" s="257"/>
    </row>
    <row r="54" spans="1:14" s="147" customFormat="1" ht="18" customHeight="1">
      <c r="A54" s="258"/>
      <c r="B54" s="257"/>
      <c r="C54" s="260"/>
      <c r="D54" s="260"/>
      <c r="E54" s="260"/>
      <c r="F54" s="260"/>
      <c r="G54" s="260"/>
      <c r="H54" s="259"/>
    </row>
    <row r="55" spans="1:14" s="147" customFormat="1" ht="18" customHeight="1">
      <c r="A55" s="258"/>
      <c r="B55" s="257"/>
      <c r="C55" s="260"/>
      <c r="D55" s="260"/>
      <c r="E55" s="260"/>
      <c r="F55" s="260"/>
      <c r="G55" s="260"/>
      <c r="H55" s="259"/>
    </row>
    <row r="56" spans="1:14" s="147" customFormat="1" ht="18" customHeight="1">
      <c r="A56" s="258"/>
      <c r="B56" s="257"/>
      <c r="C56" s="257"/>
      <c r="D56" s="257"/>
      <c r="E56" s="257"/>
      <c r="F56" s="257"/>
      <c r="G56" s="257"/>
      <c r="H56" s="259"/>
    </row>
    <row r="57" spans="1:14" s="147" customFormat="1" ht="18" customHeight="1">
      <c r="A57" s="232"/>
      <c r="B57" s="261"/>
      <c r="C57" s="261"/>
      <c r="D57" s="261"/>
      <c r="E57" s="261"/>
      <c r="F57" s="261"/>
      <c r="G57" s="261"/>
      <c r="H57" s="262"/>
      <c r="I57" s="143"/>
      <c r="J57" s="263"/>
    </row>
    <row r="58" spans="1:14" s="147" customFormat="1" ht="18" customHeight="1" thickBot="1">
      <c r="A58" s="247" t="s">
        <v>1</v>
      </c>
      <c r="B58" s="264">
        <f t="shared" ref="B58:G58" si="4">SUM(B43:B57)</f>
        <v>0</v>
      </c>
      <c r="C58" s="264">
        <f t="shared" si="4"/>
        <v>1892.2140049052055</v>
      </c>
      <c r="D58" s="264">
        <f t="shared" si="4"/>
        <v>2063.1394291650613</v>
      </c>
      <c r="E58" s="264">
        <f t="shared" si="4"/>
        <v>2203.5400178824098</v>
      </c>
      <c r="F58" s="264">
        <f t="shared" si="4"/>
        <v>2161.300892481092</v>
      </c>
      <c r="G58" s="264">
        <f t="shared" si="4"/>
        <v>2220.5617345617848</v>
      </c>
      <c r="H58" s="265"/>
    </row>
    <row r="59" spans="1:14" ht="18" customHeight="1" thickTop="1">
      <c r="A59" s="149" t="s">
        <v>189</v>
      </c>
      <c r="B59" s="1">
        <f t="shared" ref="B59:G59" si="5">B16+B58</f>
        <v>-2926.1000000000004</v>
      </c>
      <c r="C59" s="1">
        <f t="shared" si="5"/>
        <v>-1727.3859950947949</v>
      </c>
      <c r="D59" s="1">
        <f t="shared" si="5"/>
        <v>-617.46057083493861</v>
      </c>
      <c r="E59" s="1">
        <f t="shared" si="5"/>
        <v>-383.95998211759024</v>
      </c>
      <c r="F59" s="1">
        <f t="shared" si="5"/>
        <v>-443.69910751890802</v>
      </c>
      <c r="G59" s="1">
        <f t="shared" si="5"/>
        <v>-395.13826543821506</v>
      </c>
      <c r="H59" s="1"/>
    </row>
    <row r="60" spans="1:14" ht="8.25" customHeight="1">
      <c r="F60" s="6"/>
      <c r="G60" s="6"/>
      <c r="H60" s="1"/>
    </row>
    <row r="61" spans="1:14" ht="15" hidden="1" outlineLevel="1">
      <c r="A61" s="33" t="s">
        <v>118</v>
      </c>
      <c r="B61" s="62">
        <f>cbr_end_fy16_adj</f>
        <v>8647.8000000000011</v>
      </c>
      <c r="C61" s="69">
        <f>B67</f>
        <v>6171.7926000000007</v>
      </c>
      <c r="D61" s="69">
        <f t="shared" ref="D61:G61" si="6">C67</f>
        <v>4699.255683416086</v>
      </c>
      <c r="E61" s="69">
        <f t="shared" si="6"/>
        <v>4310.1262965833066</v>
      </c>
      <c r="F61" s="69">
        <f t="shared" si="6"/>
        <v>4146.6257426953744</v>
      </c>
      <c r="G61" s="69">
        <f t="shared" si="6"/>
        <v>3917.7976670367143</v>
      </c>
      <c r="H61" s="23"/>
      <c r="I61" s="44"/>
    </row>
    <row r="62" spans="1:14" ht="15" hidden="1" outlineLevel="1">
      <c r="A62" s="33" t="s">
        <v>208</v>
      </c>
      <c r="B62" s="62">
        <f>'Common Inputs'!B76</f>
        <v>350</v>
      </c>
      <c r="C62" s="62">
        <f>'Common Inputs'!C76</f>
        <v>100</v>
      </c>
      <c r="D62" s="62">
        <f>'Common Inputs'!D76</f>
        <v>100</v>
      </c>
      <c r="E62" s="62">
        <f>'Common Inputs'!E76</f>
        <v>100</v>
      </c>
      <c r="F62" s="62">
        <f>'Common Inputs'!F76</f>
        <v>100</v>
      </c>
      <c r="G62" s="62">
        <f>'Common Inputs'!G76</f>
        <v>100</v>
      </c>
      <c r="H62" s="23"/>
      <c r="I62" s="44"/>
    </row>
    <row r="63" spans="1:14" ht="15" hidden="1" outlineLevel="1">
      <c r="A63" s="33" t="s">
        <v>194</v>
      </c>
      <c r="B63" s="62">
        <f>(B61+0.5*(B62+B59))*return_cbr_fy17</f>
        <v>100.0926</v>
      </c>
      <c r="C63" s="1">
        <f>MAX(0,(C61+0.5*(C59+C62))*IF(ISBLANK($B$33),return_cbr,$B$33))</f>
        <v>154.84907851088022</v>
      </c>
      <c r="D63" s="1">
        <f>MAX(0,(D61+0.5*(D59+D62))*IF(ISBLANK($B$33),return_cbr,$B$33))</f>
        <v>128.33118400216</v>
      </c>
      <c r="E63" s="1">
        <f>MAX(0,(E61+0.5*(E59+E62))*IF(ISBLANK($B$33),return_cbr,$B$33))</f>
        <v>120.45942822965837</v>
      </c>
      <c r="F63" s="1">
        <f>MAX(0,(F61+0.5*(F59+F62))*IF(ISBLANK($B$33),return_cbr,$B$33))</f>
        <v>114.8710318602481</v>
      </c>
      <c r="G63" s="1">
        <f>MAX(0,(G61+0.5*(G59+G62))*IF(ISBLANK($B$33),return_cbr,$B$33))</f>
        <v>108.95960464177882</v>
      </c>
      <c r="H63" s="23"/>
      <c r="I63" s="44"/>
    </row>
    <row r="64" spans="1:14" ht="18" customHeight="1" collapsed="1">
      <c r="A64" s="149" t="s">
        <v>44</v>
      </c>
      <c r="B64" s="1">
        <f t="shared" ref="B64:G64" si="7">MIN(-B59,SUM(B61:B63))</f>
        <v>2926.1000000000004</v>
      </c>
      <c r="C64" s="1">
        <f t="shared" si="7"/>
        <v>1727.3859950947949</v>
      </c>
      <c r="D64" s="1">
        <f t="shared" si="7"/>
        <v>617.46057083493861</v>
      </c>
      <c r="E64" s="1">
        <f t="shared" si="7"/>
        <v>383.95998211759024</v>
      </c>
      <c r="F64" s="1">
        <f t="shared" si="7"/>
        <v>443.69910751890802</v>
      </c>
      <c r="G64" s="1">
        <f t="shared" si="7"/>
        <v>395.13826543821506</v>
      </c>
      <c r="H64" s="1"/>
    </row>
    <row r="65" spans="1:10" ht="18" customHeight="1">
      <c r="A65" s="149" t="s">
        <v>45</v>
      </c>
      <c r="B65" s="7">
        <f t="shared" ref="B65:G65" si="8">-B59-B64</f>
        <v>0</v>
      </c>
      <c r="C65" s="7">
        <f t="shared" si="8"/>
        <v>0</v>
      </c>
      <c r="D65" s="7">
        <f t="shared" si="8"/>
        <v>0</v>
      </c>
      <c r="E65" s="7">
        <f t="shared" si="8"/>
        <v>0</v>
      </c>
      <c r="F65" s="7">
        <f t="shared" si="8"/>
        <v>0</v>
      </c>
      <c r="G65" s="7">
        <f t="shared" si="8"/>
        <v>0</v>
      </c>
      <c r="H65" s="7"/>
    </row>
    <row r="66" spans="1:10" ht="6" customHeight="1">
      <c r="B66" s="7"/>
      <c r="C66" s="7"/>
      <c r="D66" s="7"/>
      <c r="E66" s="7"/>
      <c r="F66" s="7"/>
      <c r="G66" s="7"/>
      <c r="H66" s="7"/>
    </row>
    <row r="67" spans="1:10" ht="18" customHeight="1">
      <c r="A67" s="71" t="s">
        <v>97</v>
      </c>
      <c r="B67" s="72">
        <f t="shared" ref="B67:G67" si="9">SUM(B61:B63)-B64</f>
        <v>6171.7926000000007</v>
      </c>
      <c r="C67" s="72">
        <f t="shared" si="9"/>
        <v>4699.255683416086</v>
      </c>
      <c r="D67" s="72">
        <f t="shared" si="9"/>
        <v>4310.1262965833066</v>
      </c>
      <c r="E67" s="72">
        <f t="shared" si="9"/>
        <v>4146.6257426953744</v>
      </c>
      <c r="F67" s="72">
        <f t="shared" si="9"/>
        <v>3917.7976670367143</v>
      </c>
      <c r="G67" s="72">
        <f t="shared" si="9"/>
        <v>3731.6190062402784</v>
      </c>
      <c r="H67" s="29"/>
    </row>
    <row r="68" spans="1:10" ht="18" hidden="1" customHeight="1" outlineLevel="1">
      <c r="A68" s="33" t="s">
        <v>119</v>
      </c>
      <c r="B68" s="29">
        <f>cbr_end_fy16_adj</f>
        <v>8647.8000000000011</v>
      </c>
      <c r="C68" s="29">
        <f>B73</f>
        <v>6171.7926000000007</v>
      </c>
      <c r="D68" s="29">
        <f t="shared" ref="D68:G68" si="10">C73</f>
        <v>2779.6991861400002</v>
      </c>
      <c r="E68" s="29">
        <f t="shared" si="10"/>
        <v>242.14282261944618</v>
      </c>
      <c r="F68" s="29">
        <f t="shared" si="10"/>
        <v>0</v>
      </c>
      <c r="G68" s="29">
        <f t="shared" si="10"/>
        <v>0</v>
      </c>
      <c r="H68" s="29"/>
    </row>
    <row r="69" spans="1:10" ht="18" hidden="1" customHeight="1" outlineLevel="1">
      <c r="A69" s="33" t="s">
        <v>208</v>
      </c>
      <c r="B69" s="62">
        <f t="shared" ref="B69:G69" si="11">B62</f>
        <v>350</v>
      </c>
      <c r="C69" s="62">
        <f t="shared" si="11"/>
        <v>100</v>
      </c>
      <c r="D69" s="62">
        <f t="shared" si="11"/>
        <v>100</v>
      </c>
      <c r="E69" s="62">
        <f t="shared" si="11"/>
        <v>100</v>
      </c>
      <c r="F69" s="62">
        <f t="shared" si="11"/>
        <v>100</v>
      </c>
      <c r="G69" s="62">
        <f t="shared" si="11"/>
        <v>100</v>
      </c>
      <c r="H69" s="29"/>
    </row>
    <row r="70" spans="1:10" ht="18" hidden="1" customHeight="1" outlineLevel="1">
      <c r="A70" s="33" t="s">
        <v>194</v>
      </c>
      <c r="B70" s="62">
        <f>(B68+0.5*(B69+B16))*return_cbr_fy17</f>
        <v>100.0926</v>
      </c>
      <c r="C70" s="62">
        <f>MAX(0,(C68+0.5*(C69+C16))*return_cbr)</f>
        <v>127.50658614000001</v>
      </c>
      <c r="D70" s="62">
        <f>MAX(0,(D68+0.5*(D69+D16))*return_cbr)</f>
        <v>43.043636479446008</v>
      </c>
      <c r="E70" s="62">
        <f>MAX(0,(E68+0.5*(E69+E16))*return_cbr)</f>
        <v>0</v>
      </c>
      <c r="F70" s="62">
        <f>MAX(0,(F68+0.5*(F69+F16))*return_cbr)</f>
        <v>0</v>
      </c>
      <c r="G70" s="62">
        <f>MAX(0,(G68+0.5*(G69+G16))*return_cbr)</f>
        <v>0</v>
      </c>
      <c r="H70" s="29"/>
    </row>
    <row r="71" spans="1:10" ht="18" hidden="1" customHeight="1" outlineLevel="1">
      <c r="A71" s="149" t="s">
        <v>21</v>
      </c>
      <c r="B71" s="1">
        <f t="shared" ref="B71:G71" si="12">MIN(-B16,SUM(B68:B70))</f>
        <v>2926.1000000000004</v>
      </c>
      <c r="C71" s="1">
        <f t="shared" si="12"/>
        <v>3619.6000000000004</v>
      </c>
      <c r="D71" s="1">
        <f t="shared" si="12"/>
        <v>2680.6</v>
      </c>
      <c r="E71" s="1">
        <f t="shared" si="12"/>
        <v>342.14282261944618</v>
      </c>
      <c r="F71" s="1">
        <f t="shared" si="12"/>
        <v>100</v>
      </c>
      <c r="G71" s="1">
        <f t="shared" si="12"/>
        <v>100</v>
      </c>
      <c r="H71" s="1"/>
      <c r="I71" s="44"/>
    </row>
    <row r="72" spans="1:10" ht="18" hidden="1" customHeight="1" outlineLevel="1">
      <c r="A72" s="149" t="s">
        <v>22</v>
      </c>
      <c r="B72" s="7">
        <f t="shared" ref="B72:G72" si="13">-B16-B71</f>
        <v>0</v>
      </c>
      <c r="C72" s="7">
        <f t="shared" si="13"/>
        <v>0</v>
      </c>
      <c r="D72" s="7">
        <f t="shared" si="13"/>
        <v>0</v>
      </c>
      <c r="E72" s="7">
        <f t="shared" si="13"/>
        <v>2245.3571773805538</v>
      </c>
      <c r="F72" s="7">
        <f t="shared" si="13"/>
        <v>2505</v>
      </c>
      <c r="G72" s="7">
        <f t="shared" si="13"/>
        <v>2515.6999999999998</v>
      </c>
      <c r="H72" s="7"/>
      <c r="I72" s="44"/>
    </row>
    <row r="73" spans="1:10" ht="18" customHeight="1" collapsed="1">
      <c r="A73" s="71" t="s">
        <v>98</v>
      </c>
      <c r="B73" s="72">
        <f t="shared" ref="B73:G73" si="14">SUM(B68:B70)-B71</f>
        <v>6171.7926000000007</v>
      </c>
      <c r="C73" s="72">
        <f t="shared" si="14"/>
        <v>2779.6991861400002</v>
      </c>
      <c r="D73" s="72">
        <f t="shared" si="14"/>
        <v>242.14282261944618</v>
      </c>
      <c r="E73" s="72">
        <f t="shared" si="14"/>
        <v>0</v>
      </c>
      <c r="F73" s="72">
        <f t="shared" si="14"/>
        <v>0</v>
      </c>
      <c r="G73" s="72">
        <f t="shared" si="14"/>
        <v>0</v>
      </c>
      <c r="H73" s="29"/>
    </row>
    <row r="74" spans="1:10" ht="15">
      <c r="A74" s="33"/>
      <c r="B74" s="29"/>
      <c r="C74" s="23"/>
      <c r="D74" s="23"/>
      <c r="E74" s="23"/>
      <c r="F74" s="23"/>
      <c r="G74" s="23"/>
      <c r="H74" s="23"/>
    </row>
    <row r="75" spans="1:10" ht="18" customHeight="1">
      <c r="A75" s="71" t="s">
        <v>30</v>
      </c>
      <c r="B75" s="72">
        <f>'PF Model'!G130</f>
        <v>56484.371347073997</v>
      </c>
      <c r="C75" s="72">
        <f>'PF Model'!H130</f>
        <v>57981.490809143848</v>
      </c>
      <c r="D75" s="72">
        <f>'PF Model'!I130</f>
        <v>59431.477059209617</v>
      </c>
      <c r="E75" s="72">
        <f>'PF Model'!J130</f>
        <v>60847.465926120618</v>
      </c>
      <c r="F75" s="72">
        <f>'PF Model'!K130</f>
        <v>62419.576020813634</v>
      </c>
      <c r="G75" s="72">
        <f>'PF Model'!L130</f>
        <v>64021.943781011207</v>
      </c>
      <c r="H75" s="29"/>
      <c r="I75" s="113">
        <f>(G75/D75)^(1/3)-1</f>
        <v>2.5110724965067055E-2</v>
      </c>
      <c r="J75" s="149" t="s">
        <v>439</v>
      </c>
    </row>
    <row r="76" spans="1:10" ht="18" customHeight="1">
      <c r="A76" s="71" t="s">
        <v>28</v>
      </c>
      <c r="B76" s="72">
        <f>'PF Model'!G28</f>
        <v>56484.371347073997</v>
      </c>
      <c r="C76" s="72">
        <f>'PF Model'!H28</f>
        <v>59057.187646130886</v>
      </c>
      <c r="D76" s="72">
        <f>'PF Model'!I28</f>
        <v>61786.298702676024</v>
      </c>
      <c r="E76" s="72">
        <f>'PF Model'!J28</f>
        <v>62469.954502832501</v>
      </c>
      <c r="F76" s="72">
        <f>'PF Model'!K28</f>
        <v>62869.258320105262</v>
      </c>
      <c r="G76" s="72">
        <f>'PF Model'!L28</f>
        <v>63122.681706917727</v>
      </c>
      <c r="H76" s="29"/>
    </row>
    <row r="77" spans="1:10" ht="18" customHeight="1">
      <c r="A77" s="54" t="s">
        <v>273</v>
      </c>
      <c r="B77" s="1"/>
      <c r="C77" s="113">
        <f>C43/B75</f>
        <v>4.4714492518306746E-2</v>
      </c>
      <c r="D77" s="113">
        <f>D43/C75</f>
        <v>4.6484824062495933E-2</v>
      </c>
      <c r="E77" s="113">
        <f>E43/D75</f>
        <v>4.7670168954706528E-2</v>
      </c>
      <c r="F77" s="113">
        <f>F43/E75</f>
        <v>4.569415258032488E-2</v>
      </c>
      <c r="G77" s="113">
        <f>G43/F75</f>
        <v>4.5832545393476226E-2</v>
      </c>
      <c r="H77" s="1"/>
    </row>
    <row r="78" spans="1:10" ht="8.25" customHeight="1">
      <c r="D78" s="1"/>
      <c r="E78" s="1"/>
      <c r="F78" s="1"/>
      <c r="G78" s="1"/>
      <c r="H78" s="1"/>
    </row>
    <row r="79" spans="1:10" ht="18" customHeight="1">
      <c r="A79" s="71" t="s">
        <v>31</v>
      </c>
      <c r="B79" s="72">
        <f>'PF Model'!G151</f>
        <v>11670.469051503305</v>
      </c>
      <c r="C79" s="72">
        <f>'PF Model'!H151</f>
        <v>9949.5075629893636</v>
      </c>
      <c r="D79" s="72">
        <f>'PF Model'!I151</f>
        <v>10884.859216498722</v>
      </c>
      <c r="E79" s="72">
        <f>'PF Model'!J151</f>
        <v>11448.074180903219</v>
      </c>
      <c r="F79" s="72">
        <f>'PF Model'!K151</f>
        <v>11123.489922137787</v>
      </c>
      <c r="G79" s="72">
        <f>'PF Model'!L151</f>
        <v>11540.136911952191</v>
      </c>
      <c r="H79" s="29"/>
      <c r="I79" s="113">
        <f>(G79/D79)^(1/3)-1</f>
        <v>1.9677215085072808E-2</v>
      </c>
      <c r="J79" s="149" t="s">
        <v>440</v>
      </c>
    </row>
    <row r="80" spans="1:10" ht="18" customHeight="1">
      <c r="A80" s="71" t="s">
        <v>29</v>
      </c>
      <c r="B80" s="72">
        <f>'PF Model'!G45</f>
        <v>11670.469051503305</v>
      </c>
      <c r="C80" s="72">
        <f>'PF Model'!H45</f>
        <v>12805.67558057932</v>
      </c>
      <c r="D80" s="72">
        <f>'PF Model'!I45</f>
        <v>14036.041598276737</v>
      </c>
      <c r="E80" s="72">
        <f>'PF Model'!J45</f>
        <v>12940.780384446334</v>
      </c>
      <c r="F80" s="72">
        <f>'PF Model'!K45</f>
        <v>11455.729270845331</v>
      </c>
      <c r="G80" s="72">
        <f>'PF Model'!L45</f>
        <v>9740.3733945314652</v>
      </c>
      <c r="H80" s="29"/>
    </row>
    <row r="81" spans="1:9" ht="9" customHeight="1"/>
    <row r="82" spans="1:9" ht="18" customHeight="1">
      <c r="C82" s="30">
        <v>43009</v>
      </c>
      <c r="D82" s="30">
        <v>43374</v>
      </c>
      <c r="E82" s="30">
        <v>43739</v>
      </c>
      <c r="F82" s="30">
        <v>44105</v>
      </c>
      <c r="G82" s="30">
        <v>44470</v>
      </c>
      <c r="H82" s="59"/>
    </row>
    <row r="83" spans="1:9" ht="18" customHeight="1">
      <c r="A83" s="71" t="s">
        <v>700</v>
      </c>
      <c r="B83" s="72"/>
      <c r="C83" s="72">
        <f>C93</f>
        <v>1000.0000000000001</v>
      </c>
      <c r="D83" s="72">
        <f t="shared" ref="D83:G83" si="15">D93</f>
        <v>1000</v>
      </c>
      <c r="E83" s="72">
        <f t="shared" si="15"/>
        <v>1000</v>
      </c>
      <c r="F83" s="72">
        <f t="shared" si="15"/>
        <v>986.3682969691472</v>
      </c>
      <c r="G83" s="72">
        <f t="shared" si="15"/>
        <v>1007.2079217922286</v>
      </c>
      <c r="H83" s="29"/>
    </row>
    <row r="84" spans="1:9" ht="18" customHeight="1">
      <c r="A84" s="71" t="s">
        <v>34</v>
      </c>
      <c r="B84" s="72"/>
      <c r="C84" s="72">
        <f>'HB61'!C108</f>
        <v>2240.4135886896033</v>
      </c>
      <c r="D84" s="72">
        <f>'HB61'!D108</f>
        <v>2293.4589332172404</v>
      </c>
      <c r="E84" s="72">
        <f>'HB61'!E108</f>
        <v>2275.760482349207</v>
      </c>
      <c r="F84" s="72">
        <f>'HB61'!F108</f>
        <v>2380.838917196153</v>
      </c>
      <c r="G84" s="72">
        <f>'HB61'!G108</f>
        <v>2599.0175137051265</v>
      </c>
      <c r="H84" s="29"/>
    </row>
    <row r="85" spans="1:9" ht="18" customHeight="1">
      <c r="A85" s="22"/>
      <c r="B85" s="37"/>
      <c r="C85" s="38"/>
      <c r="D85" s="38"/>
      <c r="E85" s="38"/>
      <c r="F85" s="38"/>
      <c r="G85" s="38"/>
      <c r="H85" s="38"/>
    </row>
    <row r="86" spans="1:9" ht="18" hidden="1" customHeight="1" outlineLevel="1">
      <c r="A86" s="149" t="s">
        <v>19</v>
      </c>
      <c r="B86" s="13">
        <f>init_pfd_recips</f>
        <v>654000</v>
      </c>
      <c r="C86" s="13">
        <f>B86*(1+div_growth)</f>
        <v>659755.19999999995</v>
      </c>
      <c r="D86" s="13">
        <f>C86*(1+div_growth)</f>
        <v>665561.04575999989</v>
      </c>
      <c r="E86" s="13">
        <f>D86*(1+div_growth)</f>
        <v>671417.98296268785</v>
      </c>
      <c r="F86" s="13">
        <f>E86*(1+div_growth)</f>
        <v>677326.46121275949</v>
      </c>
      <c r="G86" s="13">
        <f>F86*(1+div_growth)</f>
        <v>683286.93407143175</v>
      </c>
      <c r="H86" s="13"/>
      <c r="I86" s="44"/>
    </row>
    <row r="87" spans="1:9" ht="6.75" hidden="1" customHeight="1" outlineLevel="1">
      <c r="A87" s="12"/>
      <c r="C87" s="136"/>
      <c r="D87" s="20"/>
      <c r="E87" s="20"/>
      <c r="F87" s="20"/>
      <c r="G87" s="20"/>
      <c r="H87" s="20"/>
      <c r="I87" s="44"/>
    </row>
    <row r="88" spans="1:9" ht="18" hidden="1" customHeight="1" outlineLevel="1">
      <c r="A88" s="39" t="s">
        <v>742</v>
      </c>
      <c r="C88" s="13">
        <f>IF($C$38&lt;&gt;"Fixed",$B$36*C43,$B$38*C86/1000000+$B$91)</f>
        <v>686.75519999999995</v>
      </c>
      <c r="D88" s="13">
        <f>IF($C$39&lt;&gt;"Fixed",$B$36*D43,$B$39*D86/1000000+$B$91)</f>
        <v>692.56104575999984</v>
      </c>
      <c r="E88" s="13">
        <f>IF($C$40&lt;&gt;"Fixed",$B$36*E43,$B$40*E86/1000000+$B$91)</f>
        <v>698.4179829626878</v>
      </c>
      <c r="F88" s="13">
        <f>$B$36*F43</f>
        <v>695.09334803856871</v>
      </c>
      <c r="G88" s="13">
        <f>$B$36*G43</f>
        <v>715.21201285387031</v>
      </c>
      <c r="H88" s="13"/>
      <c r="I88" s="44"/>
    </row>
    <row r="89" spans="1:9" ht="18" hidden="1" customHeight="1" outlineLevel="1">
      <c r="A89" s="39" t="s">
        <v>744</v>
      </c>
      <c r="C89" s="188">
        <f>IF($C$38="Minimum",MAX(0,$B$38*C86/1000000+$B$91-C88),0)</f>
        <v>0</v>
      </c>
      <c r="D89" s="188">
        <f>IF($C$39="Minimum",MAX(0,$B$39*D86/1000000+$B$91-D88),0)</f>
        <v>0</v>
      </c>
      <c r="E89" s="188">
        <f>IF($C$40="Minimum",MAX(0,$B$40*E86/1000000+$B$91-E88),0)</f>
        <v>0</v>
      </c>
      <c r="F89" s="188"/>
      <c r="G89" s="188"/>
      <c r="H89" s="13"/>
      <c r="I89" s="44"/>
    </row>
    <row r="90" spans="1:9" ht="18" hidden="1" customHeight="1" outlineLevel="1">
      <c r="A90" s="149" t="s">
        <v>229</v>
      </c>
      <c r="C90" s="13">
        <f>SUM(C88:C89)</f>
        <v>686.75519999999995</v>
      </c>
      <c r="D90" s="13">
        <f t="shared" ref="D90:G90" si="16">SUM(D88:D89)</f>
        <v>692.56104575999984</v>
      </c>
      <c r="E90" s="13">
        <f t="shared" si="16"/>
        <v>698.4179829626878</v>
      </c>
      <c r="F90" s="13">
        <f t="shared" si="16"/>
        <v>695.09334803856871</v>
      </c>
      <c r="G90" s="13">
        <f t="shared" si="16"/>
        <v>715.21201285387031</v>
      </c>
      <c r="H90" s="13"/>
      <c r="I90" s="44"/>
    </row>
    <row r="91" spans="1:9" ht="18" hidden="1" customHeight="1" outlineLevel="1">
      <c r="A91" s="36" t="s">
        <v>36</v>
      </c>
      <c r="B91" s="50">
        <f>div_expenses</f>
        <v>27</v>
      </c>
      <c r="I91" s="44"/>
    </row>
    <row r="92" spans="1:9" ht="18" hidden="1" customHeight="1" outlineLevel="1">
      <c r="A92" s="149" t="s">
        <v>230</v>
      </c>
      <c r="C92" s="15">
        <f>C90-$B$91</f>
        <v>659.75519999999995</v>
      </c>
      <c r="D92" s="15">
        <f t="shared" ref="D92:G92" si="17">D90-$B$91</f>
        <v>665.56104575999984</v>
      </c>
      <c r="E92" s="15">
        <f t="shared" si="17"/>
        <v>671.4179829626878</v>
      </c>
      <c r="F92" s="15">
        <f t="shared" si="17"/>
        <v>668.09334803856871</v>
      </c>
      <c r="G92" s="15">
        <f t="shared" si="17"/>
        <v>688.21201285387031</v>
      </c>
      <c r="H92" s="15"/>
      <c r="I92" s="44"/>
    </row>
    <row r="93" spans="1:9" ht="18" hidden="1" customHeight="1" outlineLevel="1">
      <c r="A93" s="149" t="s">
        <v>37</v>
      </c>
      <c r="C93" s="38">
        <f>C92*1000000/C86</f>
        <v>1000.0000000000001</v>
      </c>
      <c r="D93" s="38">
        <f>D92*1000000/D86</f>
        <v>1000</v>
      </c>
      <c r="E93" s="38">
        <f>E92*1000000/E86</f>
        <v>1000</v>
      </c>
      <c r="F93" s="38">
        <f>F92*1000000/F86</f>
        <v>986.3682969691472</v>
      </c>
      <c r="G93" s="38">
        <f>G92*1000000/G86</f>
        <v>1007.2079217922286</v>
      </c>
      <c r="H93" s="38"/>
      <c r="I93" s="44"/>
    </row>
    <row r="94" spans="1:9" ht="18" customHeight="1" collapsed="1"/>
  </sheetData>
  <dataValidations disablePrompts="1" count="1">
    <dataValidation type="list" allowBlank="1" showInputMessage="1" showErrorMessage="1" sqref="C38:C40">
      <formula1>"Fixed,Minimum"</formula1>
    </dataValidation>
  </dataValidations>
  <pageMargins left="0.7" right="0.56000000000000005" top="0.5" bottom="0.42" header="0.19" footer="0.13"/>
  <pageSetup scale="52" orientation="portrait" horizontalDpi="4294967293" verticalDpi="4294967293" r:id="rId1"/>
  <headerFooter>
    <oddHeader>&amp;L&amp;A Sheet&amp;C&amp;"-,Bold"&amp;16Alaska Economy Choices&amp;RPage &amp;P of &amp;N</oddHeader>
    <oddFooter>&amp;L&amp;Z&amp;F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U43"/>
  <sheetViews>
    <sheetView showGridLines="0" topLeftCell="A10" zoomScaleNormal="100" workbookViewId="0">
      <selection activeCell="A11" sqref="A11"/>
    </sheetView>
  </sheetViews>
  <sheetFormatPr defaultColWidth="9.140625" defaultRowHeight="15"/>
  <cols>
    <col min="1" max="19" width="9.140625" style="149"/>
    <col min="20" max="20" width="9.42578125" style="149" customWidth="1"/>
    <col min="21" max="21" width="10.5703125" style="149" customWidth="1"/>
    <col min="22" max="16384" width="9.140625" style="149"/>
  </cols>
  <sheetData>
    <row r="1" spans="1:21" ht="23.25" hidden="1">
      <c r="A1" s="390"/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</row>
    <row r="2" spans="1:21" ht="19.5" hidden="1" customHeight="1">
      <c r="A2" s="40"/>
      <c r="D2" s="61"/>
      <c r="O2" s="168"/>
    </row>
    <row r="3" spans="1:21" ht="19.5" customHeight="1">
      <c r="A3" s="12" t="s">
        <v>150</v>
      </c>
      <c r="D3" s="61"/>
      <c r="N3" s="10"/>
    </row>
    <row r="4" spans="1:21" ht="15.75">
      <c r="A4" s="149" t="s">
        <v>279</v>
      </c>
      <c r="B4" s="149" t="s">
        <v>701</v>
      </c>
      <c r="G4" s="42" t="s">
        <v>0</v>
      </c>
      <c r="H4" s="43" t="s">
        <v>12</v>
      </c>
      <c r="I4" s="42" t="s">
        <v>13</v>
      </c>
      <c r="J4" s="43" t="s">
        <v>14</v>
      </c>
      <c r="K4" s="42" t="s">
        <v>15</v>
      </c>
      <c r="L4" s="43" t="s">
        <v>301</v>
      </c>
      <c r="N4" s="141"/>
    </row>
    <row r="5" spans="1:21">
      <c r="F5" s="36" t="s">
        <v>101</v>
      </c>
      <c r="G5" s="83">
        <f>'HB61'!B5</f>
        <v>46.81</v>
      </c>
      <c r="H5" s="83">
        <f>'HB61'!C5</f>
        <v>54</v>
      </c>
      <c r="I5" s="83">
        <f>'HB61'!D5</f>
        <v>60</v>
      </c>
      <c r="J5" s="83">
        <f>'HB61'!E5</f>
        <v>63</v>
      </c>
      <c r="K5" s="83">
        <f>'HB61'!F5</f>
        <v>67</v>
      </c>
      <c r="L5" s="83">
        <f>'HB61'!G5</f>
        <v>71</v>
      </c>
    </row>
    <row r="6" spans="1:21">
      <c r="F6" s="36" t="s">
        <v>702</v>
      </c>
      <c r="G6" s="41"/>
      <c r="H6" s="41">
        <f>SUM('SB 26'!C48:C57)</f>
        <v>0</v>
      </c>
      <c r="I6" s="41">
        <f>SUM('SB 26'!D48:D57)</f>
        <v>0</v>
      </c>
      <c r="J6" s="41">
        <f>SUM('SB 26'!E48:E57)</f>
        <v>0</v>
      </c>
      <c r="K6" s="41">
        <f>SUM('SB 26'!F48:F57)</f>
        <v>0</v>
      </c>
      <c r="L6" s="41">
        <f>SUM('SB 26'!G48:G57)</f>
        <v>0</v>
      </c>
    </row>
    <row r="7" spans="1:21">
      <c r="F7" s="36"/>
      <c r="G7" s="41"/>
      <c r="H7" s="41"/>
      <c r="I7" s="41"/>
      <c r="J7" s="41"/>
      <c r="K7" s="41"/>
      <c r="L7" s="41"/>
    </row>
    <row r="8" spans="1:21">
      <c r="F8" s="36"/>
      <c r="G8" s="41"/>
      <c r="H8" s="41"/>
      <c r="I8" s="41"/>
      <c r="J8" s="41"/>
      <c r="K8" s="41"/>
      <c r="L8" s="41"/>
    </row>
    <row r="12" spans="1:21">
      <c r="U12" s="13"/>
    </row>
    <row r="13" spans="1:21">
      <c r="U13" s="13"/>
    </row>
    <row r="14" spans="1:21">
      <c r="U14" s="63"/>
    </row>
    <row r="43" spans="10:10" ht="15.75">
      <c r="J43" s="25"/>
    </row>
  </sheetData>
  <mergeCells count="1">
    <mergeCell ref="A1:P1"/>
  </mergeCells>
  <pageMargins left="0.7" right="0.7" top="0.75" bottom="0.75" header="0.3" footer="0.3"/>
  <pageSetup scale="78" orientation="landscape" horizontalDpi="4294967293" verticalDpi="4294967293" r:id="rId1"/>
  <headerFooter>
    <oddHeader>&amp;L&amp;A&amp;C&amp;"-,Bold"&amp;14Alaska Economy Choices&amp;RPage &amp;P of &amp;N</oddHeader>
    <oddFooter>&amp;L&amp;Z&amp;F</oddFooter>
  </headerFooter>
  <colBreaks count="1" manualBreakCount="1">
    <brk id="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O122"/>
  <sheetViews>
    <sheetView zoomScale="120" zoomScaleNormal="120" workbookViewId="0">
      <selection activeCell="A3" sqref="A3"/>
    </sheetView>
  </sheetViews>
  <sheetFormatPr defaultRowHeight="18" customHeight="1" outlineLevelRow="1"/>
  <cols>
    <col min="1" max="1" width="51.42578125" customWidth="1"/>
    <col min="2" max="7" width="13.7109375" customWidth="1"/>
    <col min="8" max="8" width="1.42578125" customWidth="1"/>
    <col min="9" max="9" width="6.140625" customWidth="1"/>
    <col min="10" max="10" width="12.28515625" customWidth="1"/>
    <col min="11" max="11" width="9.42578125" bestFit="1" customWidth="1"/>
  </cols>
  <sheetData>
    <row r="1" spans="1:9" ht="18" customHeight="1">
      <c r="A1" s="12" t="s">
        <v>150</v>
      </c>
    </row>
    <row r="2" spans="1:9" ht="18" customHeight="1">
      <c r="A2" s="133" t="s">
        <v>699</v>
      </c>
    </row>
    <row r="3" spans="1:9" s="147" customFormat="1" ht="30">
      <c r="A3" s="266"/>
      <c r="B3" s="267" t="s">
        <v>4</v>
      </c>
      <c r="C3" s="267" t="s">
        <v>2</v>
      </c>
      <c r="D3" s="267" t="s">
        <v>3</v>
      </c>
      <c r="E3" s="267"/>
    </row>
    <row r="4" spans="1:9" s="147" customFormat="1" ht="18" customHeight="1">
      <c r="B4" s="268" t="s">
        <v>107</v>
      </c>
      <c r="C4" s="268" t="s">
        <v>108</v>
      </c>
      <c r="D4" s="268" t="s">
        <v>109</v>
      </c>
      <c r="E4" s="268" t="s">
        <v>110</v>
      </c>
      <c r="F4" s="268" t="s">
        <v>111</v>
      </c>
      <c r="G4" s="268" t="s">
        <v>285</v>
      </c>
      <c r="H4" s="269"/>
      <c r="I4" s="252"/>
    </row>
    <row r="5" spans="1:9" s="147" customFormat="1" ht="18" customHeight="1">
      <c r="A5" s="147" t="s">
        <v>620</v>
      </c>
      <c r="B5" s="270">
        <f>'Common Inputs'!B11</f>
        <v>46.81</v>
      </c>
      <c r="C5" s="270">
        <f>'Common Inputs'!C11</f>
        <v>54</v>
      </c>
      <c r="D5" s="270">
        <f>'Common Inputs'!D11</f>
        <v>60</v>
      </c>
      <c r="E5" s="270">
        <f>'Common Inputs'!E11</f>
        <v>63</v>
      </c>
      <c r="F5" s="270">
        <f>'Common Inputs'!F11</f>
        <v>67</v>
      </c>
      <c r="G5" s="270">
        <f>'Common Inputs'!G11</f>
        <v>71</v>
      </c>
      <c r="H5" s="271"/>
      <c r="I5" s="272" t="s">
        <v>186</v>
      </c>
    </row>
    <row r="6" spans="1:9" s="147" customFormat="1" ht="18" customHeight="1">
      <c r="A6" s="273" t="s">
        <v>52</v>
      </c>
      <c r="B6" s="274">
        <f>'Common Inputs'!B12</f>
        <v>505.8</v>
      </c>
      <c r="C6" s="274">
        <f>'Common Inputs'!C12</f>
        <v>469.7</v>
      </c>
      <c r="D6" s="274">
        <f>'Common Inputs'!D12</f>
        <v>457.8</v>
      </c>
      <c r="E6" s="274">
        <f>'Common Inputs'!E12</f>
        <v>443.1</v>
      </c>
      <c r="F6" s="274">
        <f>'Common Inputs'!F12</f>
        <v>426.5</v>
      </c>
      <c r="G6" s="274">
        <f>'Common Inputs'!G12</f>
        <v>410</v>
      </c>
      <c r="H6" s="275"/>
      <c r="I6" s="272" t="s">
        <v>186</v>
      </c>
    </row>
    <row r="7" spans="1:9" s="147" customFormat="1" ht="18" customHeight="1">
      <c r="A7" s="147" t="s">
        <v>58</v>
      </c>
      <c r="B7" s="276">
        <f>B23*B24</f>
        <v>592.09999999999991</v>
      </c>
      <c r="C7" s="276">
        <f t="shared" ref="C7:G7" si="0">C23*C24</f>
        <v>645.39999999999986</v>
      </c>
      <c r="D7" s="276">
        <f t="shared" si="0"/>
        <v>702.19999999999993</v>
      </c>
      <c r="E7" s="276">
        <f t="shared" si="0"/>
        <v>713.09999999999991</v>
      </c>
      <c r="F7" s="276">
        <f t="shared" si="0"/>
        <v>729.1</v>
      </c>
      <c r="G7" s="276">
        <f t="shared" si="0"/>
        <v>747.00000000000011</v>
      </c>
      <c r="H7" s="276"/>
      <c r="I7" s="252"/>
    </row>
    <row r="8" spans="1:9" s="147" customFormat="1" ht="18" customHeight="1">
      <c r="A8" s="147" t="s">
        <v>59</v>
      </c>
      <c r="B8" s="276">
        <f t="shared" ref="B8:G8" si="1">B19+B29+B34</f>
        <v>374.9</v>
      </c>
      <c r="C8" s="276">
        <f t="shared" si="1"/>
        <v>454.4</v>
      </c>
      <c r="D8" s="276">
        <f t="shared" si="1"/>
        <v>641.90000000000009</v>
      </c>
      <c r="E8" s="276">
        <f t="shared" si="1"/>
        <v>647.40000000000009</v>
      </c>
      <c r="F8" s="276">
        <f t="shared" si="1"/>
        <v>649.09999999999991</v>
      </c>
      <c r="G8" s="276">
        <f t="shared" si="1"/>
        <v>683.7</v>
      </c>
      <c r="H8" s="276"/>
      <c r="I8" s="252"/>
    </row>
    <row r="9" spans="1:9" s="147" customFormat="1" ht="18" customHeight="1">
      <c r="A9" s="273" t="s">
        <v>346</v>
      </c>
      <c r="B9" s="274">
        <f>461.2+18.6</f>
        <v>479.8</v>
      </c>
      <c r="C9" s="274">
        <f>491.9+32.4</f>
        <v>524.29999999999995</v>
      </c>
      <c r="D9" s="274">
        <f>487+41.5</f>
        <v>528.5</v>
      </c>
      <c r="E9" s="274">
        <f>495.5+50.7</f>
        <v>546.20000000000005</v>
      </c>
      <c r="F9" s="274">
        <f>505.5+59.8</f>
        <v>565.29999999999995</v>
      </c>
      <c r="G9" s="274">
        <f>512.7+69</f>
        <v>581.70000000000005</v>
      </c>
      <c r="H9" s="275"/>
      <c r="I9" s="252"/>
    </row>
    <row r="10" spans="1:9" s="281" customFormat="1" ht="18" customHeight="1">
      <c r="A10" s="277" t="s">
        <v>6</v>
      </c>
      <c r="B10" s="278">
        <f>SUM(B7:B9)</f>
        <v>1446.8</v>
      </c>
      <c r="C10" s="278">
        <f t="shared" ref="C10:G10" si="2">SUM(C7:C9)</f>
        <v>1624.0999999999997</v>
      </c>
      <c r="D10" s="278">
        <f t="shared" si="2"/>
        <v>1872.6</v>
      </c>
      <c r="E10" s="278">
        <f t="shared" si="2"/>
        <v>1906.7</v>
      </c>
      <c r="F10" s="278">
        <f t="shared" si="2"/>
        <v>1943.4999999999998</v>
      </c>
      <c r="G10" s="278">
        <f t="shared" si="2"/>
        <v>2012.4000000000003</v>
      </c>
      <c r="H10" s="279"/>
      <c r="I10" s="280"/>
    </row>
    <row r="11" spans="1:9" s="281" customFormat="1" ht="18" customHeight="1">
      <c r="A11" s="281" t="s">
        <v>337</v>
      </c>
      <c r="B11" s="282">
        <f>'Common Inputs'!B24</f>
        <v>4246.8</v>
      </c>
      <c r="C11" s="282">
        <f>'Common Inputs'!C24</f>
        <v>4167.5</v>
      </c>
      <c r="D11" s="282">
        <f>'Common Inputs'!D24</f>
        <v>4150.2</v>
      </c>
      <c r="E11" s="282">
        <f>'Common Inputs'!E24</f>
        <v>4122.2</v>
      </c>
      <c r="F11" s="282">
        <f>'Common Inputs'!F24</f>
        <v>4217.5</v>
      </c>
      <c r="G11" s="282">
        <f>'Common Inputs'!G24</f>
        <v>4298.1000000000004</v>
      </c>
      <c r="H11" s="279"/>
      <c r="I11" s="272" t="s">
        <v>336</v>
      </c>
    </row>
    <row r="12" spans="1:9" s="281" customFormat="1" ht="18" customHeight="1">
      <c r="A12" s="281" t="s">
        <v>338</v>
      </c>
      <c r="B12" s="282">
        <f>'Common Inputs'!B26</f>
        <v>96.1</v>
      </c>
      <c r="C12" s="282">
        <f>'Common Inputs'!C26</f>
        <v>115.2</v>
      </c>
      <c r="D12" s="282">
        <f>'Common Inputs'!D26</f>
        <v>180</v>
      </c>
      <c r="E12" s="282">
        <f>'Common Inputs'!E26</f>
        <v>180</v>
      </c>
      <c r="F12" s="282">
        <f>'Common Inputs'!F26</f>
        <v>180</v>
      </c>
      <c r="G12" s="282">
        <f>'Common Inputs'!G26</f>
        <v>180</v>
      </c>
      <c r="H12" s="279"/>
      <c r="I12" s="272"/>
    </row>
    <row r="13" spans="1:9" s="281" customFormat="1" ht="18" customHeight="1">
      <c r="A13" s="283" t="s">
        <v>302</v>
      </c>
      <c r="B13" s="282">
        <f>'Common Inputs'!B35</f>
        <v>30</v>
      </c>
      <c r="C13" s="282">
        <f>'Common Inputs'!C35</f>
        <v>961</v>
      </c>
      <c r="D13" s="282">
        <f>'Common Inputs'!D35</f>
        <v>223</v>
      </c>
      <c r="E13" s="282">
        <f>'Common Inputs'!E35</f>
        <v>192</v>
      </c>
      <c r="F13" s="282">
        <f>'Common Inputs'!F35</f>
        <v>151</v>
      </c>
      <c r="G13" s="282">
        <f>'Common Inputs'!G35</f>
        <v>150</v>
      </c>
      <c r="H13" s="284"/>
      <c r="I13" s="280"/>
    </row>
    <row r="14" spans="1:9" s="281" customFormat="1" ht="18" customHeight="1">
      <c r="A14" s="285" t="s">
        <v>339</v>
      </c>
      <c r="B14" s="286">
        <f>'Common Inputs'!B25</f>
        <v>0</v>
      </c>
      <c r="C14" s="286">
        <f>'Common Inputs'!C25</f>
        <v>0</v>
      </c>
      <c r="D14" s="286">
        <f>'Common Inputs'!D25</f>
        <v>0</v>
      </c>
      <c r="E14" s="286">
        <f>'Common Inputs'!E25</f>
        <v>0</v>
      </c>
      <c r="F14" s="286">
        <f>'Common Inputs'!F25</f>
        <v>0</v>
      </c>
      <c r="G14" s="286">
        <f>'Common Inputs'!G25</f>
        <v>0</v>
      </c>
      <c r="H14" s="284"/>
      <c r="I14" s="280"/>
    </row>
    <row r="15" spans="1:9" s="281" customFormat="1" ht="18" customHeight="1">
      <c r="A15" s="283" t="s">
        <v>362</v>
      </c>
      <c r="B15" s="282">
        <f>SUM(B11:B14)</f>
        <v>4372.9000000000005</v>
      </c>
      <c r="C15" s="282">
        <f t="shared" ref="C15:G15" si="3">SUM(C11:C14)</f>
        <v>5243.7</v>
      </c>
      <c r="D15" s="282">
        <f t="shared" si="3"/>
        <v>4553.2</v>
      </c>
      <c r="E15" s="282">
        <f t="shared" si="3"/>
        <v>4494.2</v>
      </c>
      <c r="F15" s="282">
        <f t="shared" si="3"/>
        <v>4548.5</v>
      </c>
      <c r="G15" s="282">
        <f t="shared" si="3"/>
        <v>4628.1000000000004</v>
      </c>
      <c r="H15" s="284"/>
      <c r="I15" s="280"/>
    </row>
    <row r="16" spans="1:9" s="281" customFormat="1" ht="18" customHeight="1" thickBot="1">
      <c r="A16" s="287" t="s">
        <v>18</v>
      </c>
      <c r="B16" s="288">
        <f>B10-B15</f>
        <v>-2926.1000000000004</v>
      </c>
      <c r="C16" s="288">
        <f t="shared" ref="C16:G16" si="4">C10-C15</f>
        <v>-3619.6000000000004</v>
      </c>
      <c r="D16" s="288">
        <f t="shared" si="4"/>
        <v>-2680.6</v>
      </c>
      <c r="E16" s="288">
        <f t="shared" si="4"/>
        <v>-2587.5</v>
      </c>
      <c r="F16" s="288">
        <f t="shared" si="4"/>
        <v>-2605</v>
      </c>
      <c r="G16" s="288">
        <f t="shared" si="4"/>
        <v>-2615.6999999999998</v>
      </c>
      <c r="H16" s="279"/>
      <c r="I16" s="280"/>
    </row>
    <row r="17" spans="1:10" ht="18" hidden="1" customHeight="1" outlineLevel="1">
      <c r="B17" s="6"/>
      <c r="C17" s="6"/>
      <c r="D17" s="6"/>
      <c r="E17" s="6"/>
      <c r="F17" s="6"/>
      <c r="G17" s="6"/>
      <c r="H17" s="6"/>
      <c r="I17" s="44"/>
    </row>
    <row r="18" spans="1:10" ht="18" hidden="1" customHeight="1" outlineLevel="1">
      <c r="A18" t="s">
        <v>136</v>
      </c>
      <c r="B18" s="102">
        <v>2017</v>
      </c>
      <c r="C18" s="102">
        <v>2018</v>
      </c>
      <c r="D18" s="102">
        <v>2019</v>
      </c>
      <c r="E18" s="102">
        <v>2020</v>
      </c>
      <c r="F18" s="102">
        <v>2021</v>
      </c>
      <c r="G18" s="102">
        <v>2022</v>
      </c>
      <c r="H18" s="6"/>
      <c r="I18" s="44"/>
    </row>
    <row r="19" spans="1:10" ht="18" hidden="1" customHeight="1" outlineLevel="1">
      <c r="A19" t="s">
        <v>259</v>
      </c>
      <c r="B19" s="9">
        <f>115.8+19.6</f>
        <v>135.4</v>
      </c>
      <c r="C19" s="9">
        <f>109.7+19.6</f>
        <v>129.30000000000001</v>
      </c>
      <c r="D19" s="9">
        <f>107.1+19.6</f>
        <v>126.69999999999999</v>
      </c>
      <c r="E19" s="9">
        <f>105+19.6</f>
        <v>124.6</v>
      </c>
      <c r="F19" s="9">
        <f>103+19.6</f>
        <v>122.6</v>
      </c>
      <c r="G19" s="9">
        <f>101.2+19.6</f>
        <v>120.80000000000001</v>
      </c>
      <c r="H19" s="9"/>
      <c r="I19" s="44"/>
    </row>
    <row r="20" spans="1:10" ht="15" hidden="1" outlineLevel="1">
      <c r="B20" s="9"/>
      <c r="C20" s="9"/>
      <c r="D20" s="9"/>
      <c r="E20" s="9"/>
      <c r="F20" s="9"/>
      <c r="G20" s="9"/>
      <c r="H20" s="9"/>
      <c r="I20" s="44"/>
    </row>
    <row r="21" spans="1:10" ht="15" hidden="1" outlineLevel="1">
      <c r="A21" t="s">
        <v>135</v>
      </c>
      <c r="B21" s="48">
        <f t="shared" ref="B21:G21" si="5">MOD(B5,5)/5*VLOOKUP(B5+5,tbl_royalties,B18-2015,TRUE)+(1-MOD(B5,5)/5)*VLOOKUP(B5,tbl_royalties,B18-2015,TRUE)</f>
        <v>4.5302657350609454</v>
      </c>
      <c r="C21" s="48">
        <f t="shared" si="5"/>
        <v>5.3572615509045534</v>
      </c>
      <c r="D21" s="48">
        <f t="shared" si="5"/>
        <v>6.0482403187543987</v>
      </c>
      <c r="E21" s="48">
        <f t="shared" si="5"/>
        <v>6.3741291681447638</v>
      </c>
      <c r="F21" s="48">
        <f t="shared" si="5"/>
        <v>6.7612981978961537</v>
      </c>
      <c r="G21" s="48">
        <f t="shared" si="5"/>
        <v>7.1710835965434656</v>
      </c>
      <c r="H21" s="48"/>
      <c r="I21" s="44"/>
    </row>
    <row r="22" spans="1:10" s="149" customFormat="1" ht="15" hidden="1" outlineLevel="1">
      <c r="A22" s="149" t="s">
        <v>361</v>
      </c>
      <c r="B22" s="6">
        <v>24.207970547816039</v>
      </c>
      <c r="C22" s="6">
        <v>19.399682834101533</v>
      </c>
      <c r="D22" s="6">
        <v>13.036483807142641</v>
      </c>
      <c r="E22" s="6">
        <v>18.699103213752135</v>
      </c>
      <c r="F22" s="6">
        <v>28.1509316106768</v>
      </c>
      <c r="G22" s="6">
        <v>30.103307562738863</v>
      </c>
      <c r="H22" s="48"/>
      <c r="I22" s="44"/>
    </row>
    <row r="23" spans="1:10" ht="15" hidden="1" outlineLevel="1">
      <c r="A23" t="s">
        <v>137</v>
      </c>
      <c r="B23" s="6">
        <f>B21*B$6*0.365+B22</f>
        <v>860.57203975756261</v>
      </c>
      <c r="C23" s="6">
        <f t="shared" ref="C23:G23" si="6">C21*C$6*0.365+C22</f>
        <v>937.85128175195359</v>
      </c>
      <c r="D23" s="6">
        <f t="shared" si="6"/>
        <v>1023.6792963500465</v>
      </c>
      <c r="E23" s="6">
        <f t="shared" si="6"/>
        <v>1049.596574771557</v>
      </c>
      <c r="F23" s="6">
        <f t="shared" si="6"/>
        <v>1080.6991253226656</v>
      </c>
      <c r="G23" s="6">
        <f t="shared" si="6"/>
        <v>1103.2559677854683</v>
      </c>
      <c r="H23" s="6"/>
      <c r="I23" s="44"/>
    </row>
    <row r="24" spans="1:10" ht="15" hidden="1" outlineLevel="1">
      <c r="A24" t="s">
        <v>57</v>
      </c>
      <c r="B24" s="49">
        <v>0.68803071985327835</v>
      </c>
      <c r="C24" s="49">
        <v>0.68816880944531</v>
      </c>
      <c r="D24" s="49">
        <v>0.68595702042984674</v>
      </c>
      <c r="E24" s="49">
        <v>0.67940389397250556</v>
      </c>
      <c r="F24" s="49">
        <v>0.67465586203959571</v>
      </c>
      <c r="G24" s="49">
        <v>0.67708675213371394</v>
      </c>
      <c r="H24" s="49"/>
      <c r="I24" s="44"/>
    </row>
    <row r="25" spans="1:10" ht="15" hidden="1" outlineLevel="1">
      <c r="B25" s="9"/>
      <c r="C25" s="9"/>
      <c r="D25" s="9"/>
      <c r="E25" s="9"/>
      <c r="F25" s="9"/>
      <c r="G25" s="9"/>
      <c r="H25" s="9"/>
      <c r="I25" s="44"/>
    </row>
    <row r="26" spans="1:10" ht="18" hidden="1" customHeight="1" outlineLevel="1">
      <c r="A26" t="s">
        <v>138</v>
      </c>
      <c r="B26" s="48">
        <f t="shared" ref="B26:G26" si="7">MOD(B5,5)/5*VLOOKUP(B5+5,tbl_prod_tax,B18-2015,TRUE)+(1-MOD(B5,5)/5)*VLOOKUP(B5,tbl_prod_tax,B18-2015,TRUE)</f>
        <v>0.52811653701652728</v>
      </c>
      <c r="C26" s="48">
        <f t="shared" si="7"/>
        <v>0.79196060165449478</v>
      </c>
      <c r="D26" s="48">
        <f t="shared" si="7"/>
        <v>1.847629070633255</v>
      </c>
      <c r="E26" s="48">
        <f t="shared" si="7"/>
        <v>2.0542206827799956</v>
      </c>
      <c r="F26" s="48">
        <f t="shared" si="7"/>
        <v>2.2746030518135041</v>
      </c>
      <c r="G26" s="48">
        <f t="shared" si="7"/>
        <v>2.8399376304198674</v>
      </c>
      <c r="H26" s="48"/>
      <c r="I26" s="44"/>
    </row>
    <row r="27" spans="1:10" ht="18" hidden="1" customHeight="1" outlineLevel="1">
      <c r="A27" s="149" t="s">
        <v>361</v>
      </c>
      <c r="B27" s="134">
        <v>45.600709285619772</v>
      </c>
      <c r="C27" s="134">
        <v>-46.074121527947483</v>
      </c>
      <c r="D27" s="134">
        <v>-53.533274815604933</v>
      </c>
      <c r="E27" s="134">
        <v>-59.732192357032808</v>
      </c>
      <c r="F27" s="134">
        <v>-70.693143583437674</v>
      </c>
      <c r="G27" s="134">
        <v>-111.79666639233314</v>
      </c>
      <c r="H27" s="48"/>
      <c r="I27" s="44"/>
    </row>
    <row r="28" spans="1:10" ht="18" hidden="1" customHeight="1" outlineLevel="1">
      <c r="A28" t="s">
        <v>260</v>
      </c>
      <c r="B28" s="6">
        <v>71.550000000000011</v>
      </c>
      <c r="C28" s="6">
        <v>44.85</v>
      </c>
      <c r="D28" s="6">
        <v>127.6</v>
      </c>
      <c r="E28" s="6">
        <v>136.25</v>
      </c>
      <c r="F28" s="6">
        <v>141.69999999999999</v>
      </c>
      <c r="G28" s="6">
        <v>156.60000000000002</v>
      </c>
      <c r="H28" s="48"/>
      <c r="I28" s="44"/>
      <c r="J28" s="8"/>
    </row>
    <row r="29" spans="1:10" ht="15" hidden="1" outlineLevel="1">
      <c r="A29" t="s">
        <v>139</v>
      </c>
      <c r="B29" s="6">
        <f>MAX(B28,B26*B$6*0.365+B27)</f>
        <v>143.1</v>
      </c>
      <c r="C29" s="6">
        <f t="shared" ref="C29:G29" si="8">MAX(C28,C26*C$6*0.365+C27)</f>
        <v>89.699999999999932</v>
      </c>
      <c r="D29" s="6">
        <f t="shared" si="8"/>
        <v>255.20000000000007</v>
      </c>
      <c r="E29" s="6">
        <f t="shared" si="8"/>
        <v>272.5</v>
      </c>
      <c r="F29" s="6">
        <f t="shared" si="8"/>
        <v>283.39999999999998</v>
      </c>
      <c r="G29" s="6">
        <f t="shared" si="8"/>
        <v>313.2</v>
      </c>
      <c r="H29" s="6"/>
      <c r="I29" s="44"/>
    </row>
    <row r="30" spans="1:10" ht="15" hidden="1" outlineLevel="1">
      <c r="B30" s="9"/>
      <c r="C30" s="9"/>
      <c r="D30" s="9"/>
      <c r="E30" s="9"/>
      <c r="F30" s="9"/>
      <c r="G30" s="9"/>
      <c r="H30" s="9"/>
      <c r="I30" s="44"/>
    </row>
    <row r="31" spans="1:10" ht="15" hidden="1" outlineLevel="1">
      <c r="A31" t="s">
        <v>53</v>
      </c>
      <c r="B31" s="48">
        <v>0.52216209774831135</v>
      </c>
      <c r="C31" s="48">
        <v>1.373071123800969</v>
      </c>
      <c r="D31" s="48">
        <v>1.5559824533055651</v>
      </c>
      <c r="E31" s="48">
        <v>1.5476267764782989</v>
      </c>
      <c r="F31" s="48">
        <v>1.5616117169056833</v>
      </c>
      <c r="G31" s="48">
        <v>1.6685599732709657</v>
      </c>
      <c r="H31" s="48"/>
      <c r="I31" s="44"/>
    </row>
    <row r="32" spans="1:10" ht="15" hidden="1" outlineLevel="1">
      <c r="A32" t="s">
        <v>54</v>
      </c>
      <c r="B32" s="48">
        <v>46.81</v>
      </c>
      <c r="C32" s="48">
        <v>54</v>
      </c>
      <c r="D32" s="48">
        <v>60</v>
      </c>
      <c r="E32" s="48">
        <v>63</v>
      </c>
      <c r="F32" s="48">
        <v>67</v>
      </c>
      <c r="G32" s="48">
        <v>71</v>
      </c>
      <c r="H32" s="48"/>
      <c r="I32" s="44"/>
    </row>
    <row r="33" spans="1:9" ht="15" hidden="1" outlineLevel="1">
      <c r="A33" t="s">
        <v>55</v>
      </c>
      <c r="B33" s="48">
        <f t="shared" ref="B33:G33" si="9">B31*(1+0.88*(B5-B32)/B32)</f>
        <v>0.52216209774831135</v>
      </c>
      <c r="C33" s="48">
        <f t="shared" si="9"/>
        <v>1.373071123800969</v>
      </c>
      <c r="D33" s="48">
        <f t="shared" si="9"/>
        <v>1.5559824533055651</v>
      </c>
      <c r="E33" s="48">
        <f t="shared" si="9"/>
        <v>1.5476267764782989</v>
      </c>
      <c r="F33" s="48">
        <f t="shared" si="9"/>
        <v>1.5616117169056833</v>
      </c>
      <c r="G33" s="48">
        <f t="shared" si="9"/>
        <v>1.6685599732709657</v>
      </c>
      <c r="H33" s="48"/>
      <c r="I33" s="44"/>
    </row>
    <row r="34" spans="1:9" ht="15" hidden="1" outlineLevel="1">
      <c r="A34" t="s">
        <v>56</v>
      </c>
      <c r="B34" s="6">
        <f>B33*B$6*0.365</f>
        <v>96.399999999999991</v>
      </c>
      <c r="C34" s="6">
        <f t="shared" ref="C34:G34" si="10">C33*C$6*0.365</f>
        <v>235.40000000000003</v>
      </c>
      <c r="D34" s="6">
        <f t="shared" si="10"/>
        <v>260</v>
      </c>
      <c r="E34" s="6">
        <f t="shared" si="10"/>
        <v>250.3</v>
      </c>
      <c r="F34" s="6">
        <f t="shared" si="10"/>
        <v>243.09999999999997</v>
      </c>
      <c r="G34" s="6">
        <f t="shared" si="10"/>
        <v>249.70000000000005</v>
      </c>
      <c r="H34" s="6"/>
      <c r="I34" s="44"/>
    </row>
    <row r="35" spans="1:9" ht="18" hidden="1" customHeight="1" outlineLevel="1" thickBot="1">
      <c r="B35" s="8"/>
      <c r="C35" s="8"/>
      <c r="D35" s="8"/>
      <c r="E35" s="8"/>
      <c r="F35" s="8"/>
      <c r="G35" s="8"/>
      <c r="H35" s="8"/>
      <c r="I35" s="44"/>
    </row>
    <row r="36" spans="1:9" s="147" customFormat="1" ht="18" customHeight="1" collapsed="1" thickTop="1">
      <c r="A36" s="228" t="s">
        <v>310</v>
      </c>
      <c r="B36" s="229"/>
      <c r="C36" s="229"/>
      <c r="D36" s="229"/>
      <c r="E36" s="229"/>
      <c r="F36" s="229"/>
      <c r="G36" s="229"/>
      <c r="H36" s="230"/>
      <c r="I36" s="231"/>
    </row>
    <row r="37" spans="1:9" s="147" customFormat="1" ht="6" customHeight="1">
      <c r="A37" s="232"/>
      <c r="B37" s="233"/>
      <c r="C37" s="233"/>
      <c r="D37" s="233"/>
      <c r="E37" s="233"/>
      <c r="F37" s="233"/>
      <c r="G37" s="233"/>
      <c r="H37" s="234"/>
      <c r="I37" s="231"/>
    </row>
    <row r="38" spans="1:9" s="147" customFormat="1" ht="18" customHeight="1">
      <c r="A38" s="235" t="b">
        <v>0</v>
      </c>
      <c r="B38" s="236"/>
      <c r="C38" s="236"/>
      <c r="D38" s="233"/>
      <c r="E38" s="233"/>
      <c r="F38" s="233"/>
      <c r="G38" s="233"/>
      <c r="H38" s="234"/>
      <c r="I38" s="231"/>
    </row>
    <row r="39" spans="1:9" s="147" customFormat="1" ht="18" customHeight="1">
      <c r="A39" s="232" t="s">
        <v>461</v>
      </c>
      <c r="B39" s="237">
        <v>5.2499999999999998E-2</v>
      </c>
      <c r="C39" s="236" t="s">
        <v>462</v>
      </c>
      <c r="E39" s="233"/>
      <c r="F39" s="233"/>
      <c r="G39" s="233"/>
      <c r="H39" s="234"/>
      <c r="I39" s="231"/>
    </row>
    <row r="40" spans="1:9" s="147" customFormat="1" ht="18" customHeight="1">
      <c r="A40" s="232" t="s">
        <v>311</v>
      </c>
      <c r="B40" s="238">
        <v>1200</v>
      </c>
      <c r="C40" s="236" t="s">
        <v>71</v>
      </c>
      <c r="D40" s="147" t="s">
        <v>463</v>
      </c>
      <c r="E40" s="233"/>
      <c r="F40" s="233"/>
      <c r="G40" s="233"/>
      <c r="H40" s="234"/>
      <c r="I40" s="231"/>
    </row>
    <row r="41" spans="1:9" s="147" customFormat="1" ht="7.5" customHeight="1">
      <c r="A41" s="232"/>
      <c r="B41" s="143"/>
      <c r="C41" s="143"/>
      <c r="D41" s="233"/>
      <c r="E41" s="233"/>
      <c r="F41" s="233"/>
      <c r="G41" s="233"/>
      <c r="H41" s="234"/>
      <c r="I41" s="231"/>
    </row>
    <row r="42" spans="1:9" s="147" customFormat="1" ht="18" customHeight="1" thickBot="1">
      <c r="A42" s="232" t="str">
        <f>"Default FY18+ CBR Return is "&amp;TEXT(return_cbr, "0.00%")&amp;"."</f>
        <v>Default FY18+ CBR Return is 2.89%.</v>
      </c>
      <c r="B42" s="239"/>
      <c r="C42" s="143"/>
      <c r="D42" s="143"/>
      <c r="E42" s="143"/>
      <c r="F42" s="233"/>
      <c r="G42" s="233"/>
      <c r="H42" s="234"/>
      <c r="I42" s="231"/>
    </row>
    <row r="43" spans="1:9" s="147" customFormat="1" ht="18" customHeight="1" thickBot="1">
      <c r="A43" s="232" t="s">
        <v>313</v>
      </c>
      <c r="B43" s="240"/>
      <c r="C43" s="241" t="s">
        <v>206</v>
      </c>
      <c r="D43" s="143"/>
      <c r="E43" s="233"/>
      <c r="F43" s="233"/>
      <c r="G43" s="233"/>
      <c r="H43" s="234"/>
      <c r="I43" s="231"/>
    </row>
    <row r="44" spans="1:9" s="147" customFormat="1" ht="8.25" customHeight="1">
      <c r="A44" s="232"/>
      <c r="B44" s="233"/>
      <c r="C44" s="233"/>
      <c r="D44" s="233"/>
      <c r="E44" s="233"/>
      <c r="F44" s="233"/>
      <c r="G44" s="233"/>
      <c r="H44" s="234"/>
      <c r="I44" s="231"/>
    </row>
    <row r="45" spans="1:9" s="147" customFormat="1" ht="18" customHeight="1">
      <c r="A45" s="232" t="s">
        <v>234</v>
      </c>
      <c r="B45" s="242">
        <v>4</v>
      </c>
      <c r="C45" s="236" t="s">
        <v>466</v>
      </c>
      <c r="D45" s="233"/>
      <c r="E45" s="233"/>
      <c r="F45" s="233"/>
      <c r="G45" s="233"/>
      <c r="H45" s="234"/>
      <c r="I45" s="231"/>
    </row>
    <row r="46" spans="1:9" s="147" customFormat="1" ht="18" customHeight="1">
      <c r="A46" s="143" t="s">
        <v>718</v>
      </c>
      <c r="B46" s="176">
        <v>0</v>
      </c>
      <c r="C46" s="180" t="s">
        <v>71</v>
      </c>
      <c r="D46" s="233"/>
      <c r="E46" s="233"/>
      <c r="F46" s="233"/>
      <c r="G46" s="233"/>
      <c r="H46" s="234"/>
      <c r="I46" s="231"/>
    </row>
    <row r="47" spans="1:9" s="147" customFormat="1" ht="9.75" customHeight="1">
      <c r="A47" s="232"/>
      <c r="B47" s="233"/>
      <c r="C47" s="233"/>
      <c r="D47" s="233"/>
      <c r="E47" s="233"/>
      <c r="F47" s="233"/>
      <c r="G47" s="233"/>
      <c r="H47" s="234"/>
      <c r="I47" s="231"/>
    </row>
    <row r="48" spans="1:9" s="147" customFormat="1" ht="15.75">
      <c r="A48" s="163" t="s">
        <v>312</v>
      </c>
      <c r="B48" s="143"/>
      <c r="C48" s="143"/>
      <c r="D48" s="143"/>
      <c r="E48" s="143"/>
      <c r="F48" s="233"/>
      <c r="G48" s="233"/>
      <c r="H48" s="234"/>
      <c r="I48" s="231"/>
    </row>
    <row r="49" spans="1:15" s="147" customFormat="1" ht="18" customHeight="1">
      <c r="A49" s="164" t="s">
        <v>269</v>
      </c>
      <c r="B49" s="243">
        <v>0.2</v>
      </c>
      <c r="C49" s="143" t="s">
        <v>275</v>
      </c>
      <c r="D49" s="143"/>
      <c r="E49" s="143"/>
      <c r="F49" s="233"/>
      <c r="G49" s="233"/>
      <c r="H49" s="234"/>
      <c r="I49" s="231"/>
    </row>
    <row r="50" spans="1:15" s="147" customFormat="1" ht="18" customHeight="1">
      <c r="A50" s="164" t="s">
        <v>266</v>
      </c>
      <c r="B50" s="243">
        <v>0.2</v>
      </c>
      <c r="C50" s="143" t="s">
        <v>275</v>
      </c>
      <c r="D50" s="143"/>
      <c r="E50" s="143"/>
      <c r="F50" s="233"/>
      <c r="G50" s="233"/>
      <c r="H50" s="234"/>
      <c r="I50" s="231"/>
    </row>
    <row r="51" spans="1:15" s="147" customFormat="1" ht="18" customHeight="1">
      <c r="A51" s="164" t="s">
        <v>267</v>
      </c>
      <c r="B51" s="243">
        <v>0</v>
      </c>
      <c r="C51" s="143" t="s">
        <v>274</v>
      </c>
      <c r="D51" s="143"/>
      <c r="E51" s="143"/>
      <c r="F51" s="233"/>
      <c r="G51" s="233"/>
      <c r="H51" s="234"/>
      <c r="I51" s="231"/>
    </row>
    <row r="52" spans="1:15" s="147" customFormat="1" ht="8.25" customHeight="1">
      <c r="A52" s="164"/>
      <c r="B52" s="243"/>
      <c r="C52" s="143"/>
      <c r="D52" s="143"/>
      <c r="E52" s="143"/>
      <c r="F52" s="233"/>
      <c r="G52" s="233"/>
      <c r="H52" s="234"/>
      <c r="I52" s="231"/>
    </row>
    <row r="53" spans="1:15" s="147" customFormat="1" ht="18" customHeight="1">
      <c r="A53" s="164" t="s">
        <v>283</v>
      </c>
      <c r="B53" s="244">
        <v>1000</v>
      </c>
      <c r="C53" s="245" t="s">
        <v>38</v>
      </c>
      <c r="D53" s="143" t="s">
        <v>272</v>
      </c>
      <c r="E53" s="143"/>
      <c r="F53" s="233"/>
      <c r="G53" s="233"/>
      <c r="H53" s="234"/>
      <c r="I53" s="231"/>
    </row>
    <row r="54" spans="1:15" s="147" customFormat="1" ht="18" customHeight="1">
      <c r="A54" s="164" t="s">
        <v>284</v>
      </c>
      <c r="B54" s="244">
        <v>1000</v>
      </c>
      <c r="C54" s="245" t="s">
        <v>38</v>
      </c>
      <c r="D54" s="143" t="s">
        <v>272</v>
      </c>
      <c r="E54" s="143"/>
      <c r="F54" s="233"/>
      <c r="G54" s="233"/>
      <c r="H54" s="234"/>
      <c r="I54" s="231"/>
    </row>
    <row r="55" spans="1:15" s="147" customFormat="1" ht="18" customHeight="1">
      <c r="A55" s="246" t="s">
        <v>268</v>
      </c>
      <c r="B55" s="244">
        <v>0</v>
      </c>
      <c r="C55" s="245" t="s">
        <v>38</v>
      </c>
      <c r="D55" s="143" t="s">
        <v>271</v>
      </c>
      <c r="E55" s="143"/>
      <c r="F55" s="233"/>
      <c r="G55" s="233"/>
      <c r="H55" s="234"/>
      <c r="I55" s="231"/>
    </row>
    <row r="56" spans="1:15" s="147" customFormat="1" ht="8.25" customHeight="1" thickBot="1">
      <c r="A56" s="247"/>
      <c r="B56" s="248"/>
      <c r="C56" s="248"/>
      <c r="D56" s="248"/>
      <c r="E56" s="248"/>
      <c r="F56" s="248"/>
      <c r="G56" s="248"/>
      <c r="H56" s="249"/>
      <c r="I56" s="231"/>
    </row>
    <row r="57" spans="1:15" s="147" customFormat="1" ht="18" customHeight="1" thickTop="1">
      <c r="A57" s="250" t="s">
        <v>5</v>
      </c>
      <c r="B57" s="318" t="s">
        <v>721</v>
      </c>
      <c r="C57" s="318" t="s">
        <v>551</v>
      </c>
      <c r="D57" s="318" t="s">
        <v>552</v>
      </c>
      <c r="E57" s="318" t="s">
        <v>553</v>
      </c>
      <c r="F57" s="318" t="s">
        <v>554</v>
      </c>
      <c r="G57" s="318" t="s">
        <v>555</v>
      </c>
      <c r="H57" s="251"/>
      <c r="I57" s="252"/>
    </row>
    <row r="58" spans="1:15" s="147" customFormat="1" ht="18" customHeight="1">
      <c r="A58" s="232" t="s">
        <v>231</v>
      </c>
      <c r="B58" s="236"/>
      <c r="C58" s="236">
        <f>IF(delay_SB128, 0,sb114_pomv_pct*('PF Model'!H60-425))</f>
        <v>2525.67</v>
      </c>
      <c r="D58" s="236">
        <f>sb114_pomv_pct*('PF Model'!I60-425)</f>
        <v>2695.2593991442768</v>
      </c>
      <c r="E58" s="236">
        <f>sb114_pomv_pct*('PF Model'!J60-425)</f>
        <v>2832.1869987990372</v>
      </c>
      <c r="F58" s="236">
        <f>sb114_pomv_pct*('PF Model'!K60-425)</f>
        <v>2916.5014733142589</v>
      </c>
      <c r="G58" s="236">
        <f>sb114_pomv_pct*('PF Model'!L60-425)</f>
        <v>2997.8702651110416</v>
      </c>
      <c r="H58" s="253"/>
      <c r="J58" s="340"/>
      <c r="K58" s="254"/>
      <c r="L58" s="254"/>
      <c r="M58" s="254"/>
      <c r="N58" s="254"/>
      <c r="O58" s="254"/>
    </row>
    <row r="59" spans="1:15" s="147" customFormat="1" ht="18" customHeight="1">
      <c r="A59" s="232" t="s">
        <v>232</v>
      </c>
      <c r="B59" s="236"/>
      <c r="C59" s="236">
        <f>IF(delay_SB128, 0,MAX(-C58*(1-$B$49),MIN(-((1-$B$50)*(C7+C60)+C29-$B$40),0)))</f>
        <v>0</v>
      </c>
      <c r="D59" s="236">
        <f>MAX(-D58*(1-$B$49),MIN(-((1-$B$50)*(D7+D60)+D29-$B$40),0))</f>
        <v>0</v>
      </c>
      <c r="E59" s="236">
        <f t="shared" ref="E59:G59" si="11">MAX(-E58*(1-$B$49),MIN(-((1-$B$50)*(E7+E60)+E29-$B$40),0))</f>
        <v>0</v>
      </c>
      <c r="F59" s="236">
        <f t="shared" si="11"/>
        <v>0</v>
      </c>
      <c r="G59" s="236">
        <f t="shared" si="11"/>
        <v>0</v>
      </c>
      <c r="H59" s="253"/>
      <c r="J59" s="254"/>
      <c r="K59" s="254"/>
      <c r="L59" s="254"/>
      <c r="M59" s="254"/>
      <c r="N59" s="254"/>
      <c r="O59" s="254"/>
    </row>
    <row r="60" spans="1:15" s="147" customFormat="1" ht="18" customHeight="1">
      <c r="A60" s="232" t="s">
        <v>233</v>
      </c>
      <c r="B60" s="236"/>
      <c r="C60" s="236">
        <f>IF(delay_SB128, 0, (0.745-C24)*C23)</f>
        <v>53.299204905205528</v>
      </c>
      <c r="D60" s="236">
        <f>(0.745-D24)*D23</f>
        <v>60.441075780784651</v>
      </c>
      <c r="E60" s="236">
        <f>(0.745-E24)*E23</f>
        <v>68.849448204810045</v>
      </c>
      <c r="F60" s="236">
        <f>(0.745-F24)*F23</f>
        <v>76.020848365385831</v>
      </c>
      <c r="G60" s="236">
        <f>(0.745-G24)*G23</f>
        <v>74.925696000173815</v>
      </c>
      <c r="H60" s="253"/>
      <c r="J60" s="254"/>
      <c r="K60" s="254"/>
      <c r="L60" s="254"/>
      <c r="M60" s="254"/>
      <c r="N60" s="254"/>
      <c r="O60" s="254"/>
    </row>
    <row r="61" spans="1:15" s="147" customFormat="1" ht="18" customHeight="1">
      <c r="A61" s="232" t="s">
        <v>465</v>
      </c>
      <c r="B61" s="236"/>
      <c r="C61" s="236">
        <f>IF(delay_SB128,0,-C116)</f>
        <v>-686.75519999999995</v>
      </c>
      <c r="D61" s="236">
        <f t="shared" ref="D61" si="12">-D116</f>
        <v>-692.56104575999984</v>
      </c>
      <c r="E61" s="236"/>
      <c r="F61" s="236"/>
      <c r="G61" s="236"/>
      <c r="H61" s="253"/>
      <c r="J61" s="254"/>
      <c r="K61" s="254"/>
      <c r="L61" s="254"/>
      <c r="M61" s="254"/>
      <c r="N61" s="254"/>
      <c r="O61" s="254"/>
    </row>
    <row r="62" spans="1:15" s="147" customFormat="1" ht="18" customHeight="1">
      <c r="A62" s="232" t="s">
        <v>264</v>
      </c>
      <c r="B62" s="236"/>
      <c r="C62" s="236"/>
      <c r="D62" s="236"/>
      <c r="E62" s="236">
        <f xml:space="preserve"> -E112</f>
        <v>-566.43739975980748</v>
      </c>
      <c r="F62" s="236">
        <f xml:space="preserve"> -F112</f>
        <v>-583.3002946628518</v>
      </c>
      <c r="G62" s="236">
        <f xml:space="preserve"> -G112</f>
        <v>-599.57405302220832</v>
      </c>
      <c r="H62" s="253"/>
      <c r="J62" s="255"/>
      <c r="K62" s="254"/>
      <c r="L62" s="254"/>
      <c r="M62" s="254"/>
      <c r="N62" s="254"/>
      <c r="O62" s="254"/>
    </row>
    <row r="63" spans="1:15" s="147" customFormat="1" ht="18" customHeight="1">
      <c r="A63" s="292" t="s">
        <v>265</v>
      </c>
      <c r="B63" s="236"/>
      <c r="C63" s="236"/>
      <c r="D63" s="236"/>
      <c r="E63" s="236">
        <f>-E113</f>
        <v>-152.52821515615693</v>
      </c>
      <c r="F63" s="236">
        <f>-F113</f>
        <v>-156.389889640962</v>
      </c>
      <c r="G63" s="236">
        <f>-G113</f>
        <v>-161.02416967307718</v>
      </c>
      <c r="H63" s="253"/>
    </row>
    <row r="64" spans="1:15" s="147" customFormat="1" ht="18" customHeight="1" thickBot="1">
      <c r="A64" s="186" t="s">
        <v>720</v>
      </c>
      <c r="B64" s="236">
        <f>B46</f>
        <v>0</v>
      </c>
      <c r="C64" s="236"/>
      <c r="D64" s="236"/>
      <c r="E64" s="236"/>
      <c r="F64" s="236"/>
      <c r="G64" s="236"/>
      <c r="H64" s="253"/>
    </row>
    <row r="65" spans="1:14" s="147" customFormat="1" ht="18" customHeight="1" thickTop="1">
      <c r="A65" s="256" t="s">
        <v>204</v>
      </c>
      <c r="B65" s="257"/>
      <c r="C65" s="257"/>
      <c r="D65" s="257"/>
      <c r="E65" s="257"/>
      <c r="F65" s="257"/>
      <c r="G65" s="257"/>
      <c r="H65" s="253"/>
    </row>
    <row r="66" spans="1:14" s="147" customFormat="1" ht="18" customHeight="1">
      <c r="A66" s="258"/>
      <c r="B66" s="257"/>
      <c r="C66" s="257"/>
      <c r="D66" s="257"/>
      <c r="E66" s="257"/>
      <c r="F66" s="257"/>
      <c r="G66" s="257"/>
      <c r="H66" s="259"/>
      <c r="J66" s="257"/>
      <c r="K66" s="257"/>
      <c r="L66" s="257"/>
      <c r="M66" s="257"/>
      <c r="N66" s="257"/>
    </row>
    <row r="67" spans="1:14" s="147" customFormat="1" ht="18" customHeight="1">
      <c r="A67" s="258"/>
      <c r="B67" s="257"/>
      <c r="C67" s="257"/>
      <c r="D67" s="257"/>
      <c r="E67" s="257"/>
      <c r="F67" s="257"/>
      <c r="G67" s="257"/>
      <c r="H67" s="259"/>
      <c r="J67" s="257"/>
      <c r="K67" s="257"/>
      <c r="L67" s="257"/>
      <c r="M67" s="257"/>
      <c r="N67" s="257"/>
    </row>
    <row r="68" spans="1:14" s="147" customFormat="1" ht="18" customHeight="1">
      <c r="A68" s="258"/>
      <c r="B68" s="257"/>
      <c r="C68" s="257"/>
      <c r="D68" s="257"/>
      <c r="E68" s="257"/>
      <c r="F68" s="257"/>
      <c r="G68" s="257"/>
      <c r="H68" s="259"/>
    </row>
    <row r="69" spans="1:14" s="147" customFormat="1" ht="18" customHeight="1">
      <c r="A69" s="258"/>
      <c r="B69" s="257"/>
      <c r="C69" s="257"/>
      <c r="D69" s="257"/>
      <c r="E69" s="257"/>
      <c r="F69" s="257"/>
      <c r="G69" s="257"/>
      <c r="H69" s="259"/>
      <c r="J69" s="257"/>
      <c r="K69" s="257"/>
      <c r="L69" s="257"/>
      <c r="M69" s="257"/>
      <c r="N69" s="257"/>
    </row>
    <row r="70" spans="1:14" s="147" customFormat="1" ht="18" customHeight="1">
      <c r="A70" s="258"/>
      <c r="B70" s="257"/>
      <c r="C70" s="257"/>
      <c r="D70" s="257"/>
      <c r="E70" s="257"/>
      <c r="F70" s="257"/>
      <c r="G70" s="257"/>
      <c r="H70" s="259"/>
      <c r="J70" s="257"/>
      <c r="K70" s="257"/>
      <c r="L70" s="257"/>
      <c r="M70" s="257"/>
      <c r="N70" s="257"/>
    </row>
    <row r="71" spans="1:14" s="147" customFormat="1" ht="18" customHeight="1">
      <c r="A71" s="258"/>
      <c r="B71" s="257"/>
      <c r="C71" s="260"/>
      <c r="D71" s="260"/>
      <c r="E71" s="260"/>
      <c r="F71" s="260"/>
      <c r="G71" s="260"/>
      <c r="H71" s="259"/>
    </row>
    <row r="72" spans="1:14" s="147" customFormat="1" ht="18" customHeight="1">
      <c r="A72" s="258"/>
      <c r="B72" s="257"/>
      <c r="C72" s="260"/>
      <c r="D72" s="260"/>
      <c r="E72" s="260"/>
      <c r="F72" s="260"/>
      <c r="G72" s="260"/>
      <c r="H72" s="259"/>
    </row>
    <row r="73" spans="1:14" s="147" customFormat="1" ht="18" customHeight="1">
      <c r="A73" s="258"/>
      <c r="B73" s="257"/>
      <c r="C73" s="257"/>
      <c r="D73" s="257"/>
      <c r="E73" s="257"/>
      <c r="F73" s="257"/>
      <c r="G73" s="257"/>
      <c r="H73" s="259"/>
    </row>
    <row r="74" spans="1:14" s="147" customFormat="1" ht="18" customHeight="1">
      <c r="A74" s="232"/>
      <c r="B74" s="261"/>
      <c r="C74" s="261"/>
      <c r="D74" s="261"/>
      <c r="E74" s="261"/>
      <c r="F74" s="261"/>
      <c r="G74" s="261"/>
      <c r="H74" s="262"/>
      <c r="I74" s="143"/>
      <c r="J74" s="263"/>
    </row>
    <row r="75" spans="1:14" s="147" customFormat="1" ht="18" customHeight="1" thickBot="1">
      <c r="A75" s="247" t="s">
        <v>1</v>
      </c>
      <c r="B75" s="264">
        <f t="shared" ref="B75:G75" si="13">SUM(B58:B74)</f>
        <v>0</v>
      </c>
      <c r="C75" s="264">
        <f t="shared" si="13"/>
        <v>1892.2140049052055</v>
      </c>
      <c r="D75" s="264">
        <f t="shared" si="13"/>
        <v>2063.1394291650613</v>
      </c>
      <c r="E75" s="264">
        <f t="shared" si="13"/>
        <v>2182.070832087883</v>
      </c>
      <c r="F75" s="264">
        <f t="shared" si="13"/>
        <v>2252.8321373758313</v>
      </c>
      <c r="G75" s="264">
        <f t="shared" si="13"/>
        <v>2312.19773841593</v>
      </c>
      <c r="H75" s="265"/>
    </row>
    <row r="76" spans="1:14" ht="18" customHeight="1" thickTop="1">
      <c r="A76" t="s">
        <v>189</v>
      </c>
      <c r="B76" s="1">
        <f t="shared" ref="B76:G76" si="14">B16+B75</f>
        <v>-2926.1000000000004</v>
      </c>
      <c r="C76" s="1">
        <f t="shared" si="14"/>
        <v>-1727.3859950947949</v>
      </c>
      <c r="D76" s="1">
        <f t="shared" si="14"/>
        <v>-617.46057083493861</v>
      </c>
      <c r="E76" s="1">
        <f t="shared" si="14"/>
        <v>-405.42916791211701</v>
      </c>
      <c r="F76" s="1">
        <f t="shared" si="14"/>
        <v>-352.16786262416872</v>
      </c>
      <c r="G76" s="1">
        <f t="shared" si="14"/>
        <v>-303.50226158406986</v>
      </c>
      <c r="H76" s="1"/>
    </row>
    <row r="77" spans="1:14" ht="8.25" customHeight="1">
      <c r="F77" s="6"/>
      <c r="G77" s="6"/>
      <c r="H77" s="1"/>
    </row>
    <row r="78" spans="1:14" ht="15" hidden="1" outlineLevel="1">
      <c r="A78" s="33" t="s">
        <v>118</v>
      </c>
      <c r="B78" s="62">
        <f>cbr_end_fy16_adj</f>
        <v>8647.8000000000011</v>
      </c>
      <c r="C78" s="69">
        <f>B84</f>
        <v>6171.7926000000007</v>
      </c>
      <c r="D78" s="69">
        <f t="shared" ref="D78:G78" si="15">C84</f>
        <v>4699.255683416086</v>
      </c>
      <c r="E78" s="69">
        <f t="shared" si="15"/>
        <v>4310.1262965833066</v>
      </c>
      <c r="F78" s="69">
        <f t="shared" si="15"/>
        <v>4124.8463271661167</v>
      </c>
      <c r="G78" s="69">
        <f t="shared" si="15"/>
        <v>3988.2426977821292</v>
      </c>
      <c r="H78" s="23"/>
      <c r="I78" s="44"/>
    </row>
    <row r="79" spans="1:14" ht="15" hidden="1" outlineLevel="1">
      <c r="A79" s="33" t="s">
        <v>208</v>
      </c>
      <c r="B79" s="62">
        <f>'Common Inputs'!B76</f>
        <v>350</v>
      </c>
      <c r="C79" s="62">
        <f>'Common Inputs'!C76</f>
        <v>100</v>
      </c>
      <c r="D79" s="62">
        <f>'Common Inputs'!D76</f>
        <v>100</v>
      </c>
      <c r="E79" s="62">
        <f>'Common Inputs'!E76</f>
        <v>100</v>
      </c>
      <c r="F79" s="62">
        <f>'Common Inputs'!F76</f>
        <v>100</v>
      </c>
      <c r="G79" s="62">
        <f>'Common Inputs'!G76</f>
        <v>100</v>
      </c>
      <c r="H79" s="23"/>
      <c r="I79" s="44"/>
    </row>
    <row r="80" spans="1:14" ht="15" hidden="1" outlineLevel="1">
      <c r="A80" s="33" t="s">
        <v>194</v>
      </c>
      <c r="B80" s="62">
        <f>(B78+0.5*(B79+B76))*return_cbr_fy17</f>
        <v>100.0926</v>
      </c>
      <c r="C80" s="1">
        <f>MAX(0,(C78+0.5*(C76+C79))*IF(delay_SB128,return_cbr,IF(ISBLANK($B$43),return_cbr,$B$43)))</f>
        <v>154.84907851088022</v>
      </c>
      <c r="D80" s="1">
        <f>MAX(0,(D78+0.5*(D76+D79))*IF(ISBLANK($B$43),return_cbr,$B$43))</f>
        <v>128.33118400216</v>
      </c>
      <c r="E80" s="1">
        <f>MAX(0,(E78+0.5*(E76+E79))*IF(ISBLANK($B$43),return_cbr,$B$43))</f>
        <v>120.14919849492748</v>
      </c>
      <c r="F80" s="1">
        <f>MAX(0,(F78+0.5*(F76+F79))*IF(ISBLANK($B$43),return_cbr,$B$43))</f>
        <v>115.56423324018154</v>
      </c>
      <c r="G80" s="1">
        <f>MAX(0,(G78+0.5*(G76+G79))*IF(ISBLANK($B$43),return_cbr,$B$43))</f>
        <v>112.31960628601372</v>
      </c>
      <c r="H80" s="23"/>
      <c r="I80" s="44"/>
    </row>
    <row r="81" spans="1:9" ht="18" customHeight="1" collapsed="1">
      <c r="A81" t="s">
        <v>44</v>
      </c>
      <c r="B81" s="1">
        <f t="shared" ref="B81:G81" si="16">MIN(-B76,SUM(B78:B80))</f>
        <v>2926.1000000000004</v>
      </c>
      <c r="C81" s="1">
        <f t="shared" si="16"/>
        <v>1727.3859950947949</v>
      </c>
      <c r="D81" s="1">
        <f t="shared" si="16"/>
        <v>617.46057083493861</v>
      </c>
      <c r="E81" s="1">
        <f t="shared" si="16"/>
        <v>405.42916791211701</v>
      </c>
      <c r="F81" s="1">
        <f t="shared" si="16"/>
        <v>352.16786262416872</v>
      </c>
      <c r="G81" s="1">
        <f t="shared" si="16"/>
        <v>303.50226158406986</v>
      </c>
      <c r="H81" s="1"/>
    </row>
    <row r="82" spans="1:9" ht="18" customHeight="1">
      <c r="A82" t="s">
        <v>45</v>
      </c>
      <c r="B82" s="7">
        <f t="shared" ref="B82:G82" si="17">-B76-B81</f>
        <v>0</v>
      </c>
      <c r="C82" s="7">
        <f t="shared" si="17"/>
        <v>0</v>
      </c>
      <c r="D82" s="7">
        <f t="shared" si="17"/>
        <v>0</v>
      </c>
      <c r="E82" s="7">
        <f t="shared" si="17"/>
        <v>0</v>
      </c>
      <c r="F82" s="7">
        <f t="shared" si="17"/>
        <v>0</v>
      </c>
      <c r="G82" s="7">
        <f t="shared" si="17"/>
        <v>0</v>
      </c>
      <c r="H82" s="7"/>
    </row>
    <row r="83" spans="1:9" ht="6" customHeight="1">
      <c r="B83" s="7"/>
      <c r="C83" s="7"/>
      <c r="D83" s="7"/>
      <c r="E83" s="7"/>
      <c r="F83" s="7"/>
      <c r="G83" s="7"/>
      <c r="H83" s="7"/>
    </row>
    <row r="84" spans="1:9" ht="18" customHeight="1">
      <c r="A84" s="71" t="s">
        <v>97</v>
      </c>
      <c r="B84" s="72">
        <f t="shared" ref="B84:G84" si="18">SUM(B78:B80)-B81</f>
        <v>6171.7926000000007</v>
      </c>
      <c r="C84" s="72">
        <f t="shared" si="18"/>
        <v>4699.255683416086</v>
      </c>
      <c r="D84" s="72">
        <f t="shared" si="18"/>
        <v>4310.1262965833066</v>
      </c>
      <c r="E84" s="72">
        <f t="shared" si="18"/>
        <v>4124.8463271661167</v>
      </c>
      <c r="F84" s="72">
        <f t="shared" si="18"/>
        <v>3988.2426977821292</v>
      </c>
      <c r="G84" s="72">
        <f t="shared" si="18"/>
        <v>3897.0600424840732</v>
      </c>
      <c r="H84" s="29"/>
    </row>
    <row r="85" spans="1:9" ht="18" hidden="1" customHeight="1" outlineLevel="1">
      <c r="A85" s="33" t="s">
        <v>119</v>
      </c>
      <c r="B85" s="29">
        <f>cbr_end_fy16_adj</f>
        <v>8647.8000000000011</v>
      </c>
      <c r="C85" s="29">
        <f>B90</f>
        <v>6171.7926000000007</v>
      </c>
      <c r="D85" s="29">
        <f t="shared" ref="D85:G85" si="19">C90</f>
        <v>2779.6991861400002</v>
      </c>
      <c r="E85" s="29">
        <f t="shared" si="19"/>
        <v>242.14282261944618</v>
      </c>
      <c r="F85" s="29">
        <f t="shared" si="19"/>
        <v>0</v>
      </c>
      <c r="G85" s="29">
        <f t="shared" si="19"/>
        <v>0</v>
      </c>
      <c r="H85" s="29"/>
    </row>
    <row r="86" spans="1:9" ht="18" hidden="1" customHeight="1" outlineLevel="1">
      <c r="A86" s="33" t="s">
        <v>208</v>
      </c>
      <c r="B86" s="62">
        <f t="shared" ref="B86:G86" si="20">B79</f>
        <v>350</v>
      </c>
      <c r="C86" s="62">
        <f t="shared" si="20"/>
        <v>100</v>
      </c>
      <c r="D86" s="62">
        <f t="shared" si="20"/>
        <v>100</v>
      </c>
      <c r="E86" s="62">
        <f t="shared" si="20"/>
        <v>100</v>
      </c>
      <c r="F86" s="62">
        <f t="shared" si="20"/>
        <v>100</v>
      </c>
      <c r="G86" s="62">
        <f t="shared" si="20"/>
        <v>100</v>
      </c>
      <c r="H86" s="29"/>
    </row>
    <row r="87" spans="1:9" ht="18" hidden="1" customHeight="1" outlineLevel="1">
      <c r="A87" s="33" t="s">
        <v>194</v>
      </c>
      <c r="B87" s="62">
        <f>(B85+0.5*(B86+B16))*return_cbr_fy17</f>
        <v>100.0926</v>
      </c>
      <c r="C87" s="62">
        <f>MAX(0,(C85+0.5*(C86+C16))*return_cbr)</f>
        <v>127.50658614000001</v>
      </c>
      <c r="D87" s="62">
        <f>MAX(0,(D85+0.5*(D86+D16))*return_cbr)</f>
        <v>43.043636479446008</v>
      </c>
      <c r="E87" s="62">
        <f>MAX(0,(E85+0.5*(E86+E16))*return_cbr)</f>
        <v>0</v>
      </c>
      <c r="F87" s="62">
        <f>MAX(0,(F85+0.5*(F86+F16))*return_cbr)</f>
        <v>0</v>
      </c>
      <c r="G87" s="62">
        <f>MAX(0,(G85+0.5*(G86+G16))*return_cbr)</f>
        <v>0</v>
      </c>
      <c r="H87" s="29"/>
    </row>
    <row r="88" spans="1:9" ht="18" hidden="1" customHeight="1" outlineLevel="1">
      <c r="A88" t="s">
        <v>21</v>
      </c>
      <c r="B88" s="1">
        <f t="shared" ref="B88:G88" si="21">MIN(-B16,SUM(B85:B87))</f>
        <v>2926.1000000000004</v>
      </c>
      <c r="C88" s="1">
        <f t="shared" si="21"/>
        <v>3619.6000000000004</v>
      </c>
      <c r="D88" s="1">
        <f t="shared" si="21"/>
        <v>2680.6</v>
      </c>
      <c r="E88" s="1">
        <f t="shared" si="21"/>
        <v>342.14282261944618</v>
      </c>
      <c r="F88" s="1">
        <f t="shared" si="21"/>
        <v>100</v>
      </c>
      <c r="G88" s="1">
        <f t="shared" si="21"/>
        <v>100</v>
      </c>
      <c r="H88" s="1"/>
      <c r="I88" s="44"/>
    </row>
    <row r="89" spans="1:9" ht="18" hidden="1" customHeight="1" outlineLevel="1">
      <c r="A89" t="s">
        <v>22</v>
      </c>
      <c r="B89" s="7">
        <f t="shared" ref="B89:G89" si="22">-B16-B88</f>
        <v>0</v>
      </c>
      <c r="C89" s="7">
        <f t="shared" si="22"/>
        <v>0</v>
      </c>
      <c r="D89" s="7">
        <f t="shared" si="22"/>
        <v>0</v>
      </c>
      <c r="E89" s="7">
        <f t="shared" si="22"/>
        <v>2245.3571773805538</v>
      </c>
      <c r="F89" s="7">
        <f t="shared" si="22"/>
        <v>2505</v>
      </c>
      <c r="G89" s="7">
        <f t="shared" si="22"/>
        <v>2515.6999999999998</v>
      </c>
      <c r="H89" s="7"/>
      <c r="I89" s="44"/>
    </row>
    <row r="90" spans="1:9" ht="18" customHeight="1" collapsed="1">
      <c r="A90" s="71" t="s">
        <v>98</v>
      </c>
      <c r="B90" s="72">
        <f t="shared" ref="B90:G90" si="23">SUM(B85:B87)-B88</f>
        <v>6171.7926000000007</v>
      </c>
      <c r="C90" s="72">
        <f t="shared" si="23"/>
        <v>2779.6991861400002</v>
      </c>
      <c r="D90" s="72">
        <f t="shared" si="23"/>
        <v>242.14282261944618</v>
      </c>
      <c r="E90" s="72">
        <f t="shared" si="23"/>
        <v>0</v>
      </c>
      <c r="F90" s="72">
        <f t="shared" si="23"/>
        <v>0</v>
      </c>
      <c r="G90" s="72">
        <f t="shared" si="23"/>
        <v>0</v>
      </c>
      <c r="H90" s="29"/>
    </row>
    <row r="91" spans="1:9" ht="15" hidden="1" outlineLevel="1">
      <c r="A91" s="33" t="s">
        <v>470</v>
      </c>
      <c r="B91" s="29">
        <f t="shared" ref="B91:G91" si="24">SUM(B65:B74)</f>
        <v>0</v>
      </c>
      <c r="C91" s="29">
        <f t="shared" si="24"/>
        <v>0</v>
      </c>
      <c r="D91" s="29">
        <f t="shared" si="24"/>
        <v>0</v>
      </c>
      <c r="E91" s="29">
        <f t="shared" si="24"/>
        <v>0</v>
      </c>
      <c r="F91" s="29">
        <f t="shared" si="24"/>
        <v>0</v>
      </c>
      <c r="G91" s="29">
        <f t="shared" si="24"/>
        <v>0</v>
      </c>
      <c r="H91" s="23"/>
      <c r="I91" s="44"/>
    </row>
    <row r="92" spans="1:9" ht="15" hidden="1" outlineLevel="1">
      <c r="A92" s="33" t="s">
        <v>645</v>
      </c>
      <c r="B92" s="29">
        <f t="shared" ref="B92:G92" si="25">B16+B91</f>
        <v>-2926.1000000000004</v>
      </c>
      <c r="C92" s="29">
        <f t="shared" si="25"/>
        <v>-3619.6000000000004</v>
      </c>
      <c r="D92" s="29">
        <f t="shared" si="25"/>
        <v>-2680.6</v>
      </c>
      <c r="E92" s="29">
        <f t="shared" si="25"/>
        <v>-2587.5</v>
      </c>
      <c r="F92" s="29">
        <f t="shared" si="25"/>
        <v>-2605</v>
      </c>
      <c r="G92" s="29">
        <f t="shared" si="25"/>
        <v>-2615.6999999999998</v>
      </c>
      <c r="H92" s="23"/>
      <c r="I92" s="44"/>
    </row>
    <row r="93" spans="1:9" ht="15" hidden="1" outlineLevel="1">
      <c r="A93" s="33" t="s">
        <v>471</v>
      </c>
      <c r="B93" s="29">
        <f>cbr_end_fy16_adj</f>
        <v>8647.8000000000011</v>
      </c>
      <c r="C93" s="29">
        <f>B97</f>
        <v>6171.7926000000007</v>
      </c>
      <c r="D93" s="29">
        <f t="shared" ref="D93:G93" si="26">C97</f>
        <v>2779.6991861400002</v>
      </c>
      <c r="E93" s="29">
        <f t="shared" si="26"/>
        <v>242.14282261944618</v>
      </c>
      <c r="F93" s="29">
        <f t="shared" si="26"/>
        <v>0</v>
      </c>
      <c r="G93" s="29">
        <f t="shared" si="26"/>
        <v>0</v>
      </c>
      <c r="H93" s="23"/>
      <c r="I93" s="44"/>
    </row>
    <row r="94" spans="1:9" ht="15" hidden="1" outlineLevel="1">
      <c r="A94" s="33" t="s">
        <v>208</v>
      </c>
      <c r="B94" s="29">
        <f t="shared" ref="B94:G94" si="27">B79</f>
        <v>350</v>
      </c>
      <c r="C94" s="29">
        <f t="shared" si="27"/>
        <v>100</v>
      </c>
      <c r="D94" s="29">
        <f t="shared" si="27"/>
        <v>100</v>
      </c>
      <c r="E94" s="29">
        <f t="shared" si="27"/>
        <v>100</v>
      </c>
      <c r="F94" s="29">
        <f t="shared" si="27"/>
        <v>100</v>
      </c>
      <c r="G94" s="29">
        <f t="shared" si="27"/>
        <v>100</v>
      </c>
      <c r="H94" s="23"/>
      <c r="I94" s="44"/>
    </row>
    <row r="95" spans="1:9" ht="15" hidden="1" outlineLevel="1">
      <c r="A95" s="33" t="s">
        <v>194</v>
      </c>
      <c r="B95" s="29">
        <f>(B93+0.5*(B92+B94))*return_cbr_fy17</f>
        <v>100.0926</v>
      </c>
      <c r="C95" s="29">
        <f>MAX(0,(C93+0.5*(C92+C94))*return_cbr)</f>
        <v>127.50658614000001</v>
      </c>
      <c r="D95" s="29">
        <f>MAX(0,(D93+0.5*(D92+D94))*return_cbr)</f>
        <v>43.043636479446008</v>
      </c>
      <c r="E95" s="29">
        <f>MAX(0,(E93+0.5*(E92+E94))*return_cbr)</f>
        <v>0</v>
      </c>
      <c r="F95" s="29">
        <f>MAX(0,(F93+0.5*(F92+F94))*return_cbr)</f>
        <v>0</v>
      </c>
      <c r="G95" s="29">
        <f>MAX(0,(G93+0.5*(G92+G94))*return_cbr)</f>
        <v>0</v>
      </c>
      <c r="H95" s="23"/>
      <c r="I95" s="44"/>
    </row>
    <row r="96" spans="1:9" ht="15" hidden="1" outlineLevel="1">
      <c r="A96" s="33" t="s">
        <v>472</v>
      </c>
      <c r="B96" s="29">
        <f t="shared" ref="B96:G96" si="28">MIN(-B92,SUM(B93:B95))</f>
        <v>2926.1000000000004</v>
      </c>
      <c r="C96" s="29">
        <f t="shared" si="28"/>
        <v>3619.6000000000004</v>
      </c>
      <c r="D96" s="29">
        <f t="shared" si="28"/>
        <v>2680.6</v>
      </c>
      <c r="E96" s="29">
        <f t="shared" si="28"/>
        <v>342.14282261944618</v>
      </c>
      <c r="F96" s="29">
        <f t="shared" si="28"/>
        <v>100</v>
      </c>
      <c r="G96" s="29">
        <f t="shared" si="28"/>
        <v>100</v>
      </c>
      <c r="H96" s="23"/>
      <c r="I96" s="44"/>
    </row>
    <row r="97" spans="1:10" ht="15" hidden="1" outlineLevel="1">
      <c r="A97" s="33" t="s">
        <v>473</v>
      </c>
      <c r="B97" s="29">
        <f t="shared" ref="B97:G97" si="29">SUM(B93:B95)-B96</f>
        <v>6171.7926000000007</v>
      </c>
      <c r="C97" s="29">
        <f t="shared" si="29"/>
        <v>2779.6991861400002</v>
      </c>
      <c r="D97" s="29">
        <f t="shared" si="29"/>
        <v>242.14282261944618</v>
      </c>
      <c r="E97" s="29">
        <f t="shared" si="29"/>
        <v>0</v>
      </c>
      <c r="F97" s="29">
        <f t="shared" si="29"/>
        <v>0</v>
      </c>
      <c r="G97" s="29">
        <f t="shared" si="29"/>
        <v>0</v>
      </c>
      <c r="H97" s="23"/>
      <c r="I97" s="44"/>
    </row>
    <row r="98" spans="1:10" ht="15" collapsed="1">
      <c r="A98" s="33"/>
      <c r="B98" s="29"/>
      <c r="C98" s="23"/>
      <c r="D98" s="23"/>
      <c r="E98" s="23"/>
      <c r="F98" s="23"/>
      <c r="G98" s="23"/>
      <c r="H98" s="23"/>
    </row>
    <row r="99" spans="1:10" ht="18" customHeight="1">
      <c r="A99" s="71" t="s">
        <v>30</v>
      </c>
      <c r="B99" s="72">
        <f>'PF Model'!G59</f>
        <v>56484.371347073997</v>
      </c>
      <c r="C99" s="72">
        <f>'PF Model'!H59</f>
        <v>57893.723776643848</v>
      </c>
      <c r="D99" s="72">
        <f>'PF Model'!I59</f>
        <v>59243.949953830604</v>
      </c>
      <c r="E99" s="72">
        <f>'PF Model'!J59</f>
        <v>60549.408742550746</v>
      </c>
      <c r="F99" s="72">
        <f>'PF Model'!K59</f>
        <v>61863.327355628004</v>
      </c>
      <c r="G99" s="72">
        <f>'PF Model'!L59</f>
        <v>63185.837628187001</v>
      </c>
      <c r="H99" s="29"/>
      <c r="I99" s="113">
        <f>(G99/D99)^(1/3)-1</f>
        <v>2.1704360528268962E-2</v>
      </c>
      <c r="J99" s="149" t="s">
        <v>439</v>
      </c>
    </row>
    <row r="100" spans="1:10" ht="18" customHeight="1">
      <c r="A100" s="71" t="s">
        <v>28</v>
      </c>
      <c r="B100" s="72">
        <f>'PF Model'!G28</f>
        <v>56484.371347073997</v>
      </c>
      <c r="C100" s="72">
        <f>'PF Model'!H28</f>
        <v>59057.187646130886</v>
      </c>
      <c r="D100" s="72">
        <f>'PF Model'!I28</f>
        <v>61786.298702676024</v>
      </c>
      <c r="E100" s="72">
        <f>'PF Model'!J28</f>
        <v>62469.954502832501</v>
      </c>
      <c r="F100" s="72">
        <f>'PF Model'!K28</f>
        <v>62869.258320105262</v>
      </c>
      <c r="G100" s="72">
        <f>'PF Model'!L28</f>
        <v>63122.681706917727</v>
      </c>
      <c r="H100" s="29"/>
    </row>
    <row r="101" spans="1:10" ht="18" customHeight="1">
      <c r="A101" s="54" t="s">
        <v>273</v>
      </c>
      <c r="B101" s="1"/>
      <c r="C101" s="113">
        <f>C58/B99</f>
        <v>4.4714492518306746E-2</v>
      </c>
      <c r="D101" s="113">
        <f>D58/C99</f>
        <v>4.6555295174010372E-2</v>
      </c>
      <c r="E101" s="113">
        <f>E58/D99</f>
        <v>4.7805505895643155E-2</v>
      </c>
      <c r="F101" s="113">
        <f>F58/E99</f>
        <v>4.8167298969258213E-2</v>
      </c>
      <c r="G101" s="113">
        <f>G58/F99</f>
        <v>4.8459570366745086E-2</v>
      </c>
      <c r="H101" s="1"/>
    </row>
    <row r="102" spans="1:10" ht="8.25" customHeight="1">
      <c r="D102" s="1"/>
      <c r="E102" s="1"/>
      <c r="F102" s="1"/>
      <c r="G102" s="1"/>
      <c r="H102" s="1"/>
    </row>
    <row r="103" spans="1:10" ht="18" customHeight="1">
      <c r="A103" s="71" t="s">
        <v>31</v>
      </c>
      <c r="B103" s="72">
        <f>'PF Model'!G81</f>
        <v>11670.469051503305</v>
      </c>
      <c r="C103" s="72">
        <f>'PF Model'!H81</f>
        <v>9949.7537308440442</v>
      </c>
      <c r="D103" s="72">
        <f>'PF Model'!I81</f>
        <v>10783.729173890411</v>
      </c>
      <c r="E103" s="72">
        <f>'PF Model'!J81</f>
        <v>11458.513777043378</v>
      </c>
      <c r="F103" s="72">
        <f>'PF Model'!K81</f>
        <v>11751.601975328907</v>
      </c>
      <c r="G103" s="72">
        <f>'PF Model'!L81</f>
        <v>12084.193285656504</v>
      </c>
      <c r="H103" s="29"/>
      <c r="I103" s="113">
        <f>(G103/D103)^(1/3)-1</f>
        <v>3.8682697014171374E-2</v>
      </c>
      <c r="J103" s="149" t="s">
        <v>440</v>
      </c>
    </row>
    <row r="104" spans="1:10" ht="18" customHeight="1">
      <c r="A104" s="71" t="s">
        <v>29</v>
      </c>
      <c r="B104" s="72">
        <f>'PF Model'!G45</f>
        <v>11670.469051503305</v>
      </c>
      <c r="C104" s="72">
        <f>'PF Model'!H45</f>
        <v>12805.67558057932</v>
      </c>
      <c r="D104" s="72">
        <f>'PF Model'!I45</f>
        <v>14036.041598276737</v>
      </c>
      <c r="E104" s="72">
        <f>'PF Model'!J45</f>
        <v>12940.780384446334</v>
      </c>
      <c r="F104" s="72">
        <f>'PF Model'!K45</f>
        <v>11455.729270845331</v>
      </c>
      <c r="G104" s="72">
        <f>'PF Model'!L45</f>
        <v>9740.3733945314652</v>
      </c>
      <c r="H104" s="29"/>
    </row>
    <row r="105" spans="1:10" ht="9" customHeight="1"/>
    <row r="106" spans="1:10" ht="18" customHeight="1">
      <c r="C106" s="30">
        <v>43009</v>
      </c>
      <c r="D106" s="30">
        <v>43374</v>
      </c>
      <c r="E106" s="30">
        <v>43739</v>
      </c>
      <c r="F106" s="30">
        <v>44105</v>
      </c>
      <c r="G106" s="30">
        <v>44470</v>
      </c>
      <c r="H106" s="59"/>
    </row>
    <row r="107" spans="1:10" ht="18" customHeight="1">
      <c r="A107" s="71" t="s">
        <v>474</v>
      </c>
      <c r="B107" s="72"/>
      <c r="C107" s="72">
        <f>IF(delay_SB128,C108,C120)</f>
        <v>1000.0000000000001</v>
      </c>
      <c r="D107" s="72">
        <f>D120</f>
        <v>1000</v>
      </c>
      <c r="E107" s="72">
        <f t="shared" ref="E107:G107" si="30">E120</f>
        <v>1030.6033387169769</v>
      </c>
      <c r="F107" s="72">
        <f t="shared" si="30"/>
        <v>1052.210750821303</v>
      </c>
      <c r="G107" s="72">
        <f t="shared" si="30"/>
        <v>1073.631275698584</v>
      </c>
      <c r="H107" s="29"/>
    </row>
    <row r="108" spans="1:10" ht="18" customHeight="1">
      <c r="A108" s="71" t="s">
        <v>34</v>
      </c>
      <c r="B108" s="72"/>
      <c r="C108" s="72">
        <f>(-'PF Model'!H41-'HB61'!$B$117)*1000000/'HB61'!C110</f>
        <v>2240.4135886896033</v>
      </c>
      <c r="D108" s="72">
        <f>(-'PF Model'!I41-'HB61'!$B$117)*1000000/'HB61'!D110</f>
        <v>2293.4589332172404</v>
      </c>
      <c r="E108" s="72">
        <f>(-'PF Model'!J41-'HB61'!$B$117)*1000000/'HB61'!E110</f>
        <v>2275.760482349207</v>
      </c>
      <c r="F108" s="72">
        <f>(-'PF Model'!K41-'HB61'!$B$117)*1000000/'HB61'!F110</f>
        <v>2380.838917196153</v>
      </c>
      <c r="G108" s="72">
        <f>(-'PF Model'!L41-'HB61'!$B$117)*1000000/'HB61'!G110</f>
        <v>2599.0175137051265</v>
      </c>
      <c r="H108" s="29"/>
    </row>
    <row r="109" spans="1:10" ht="18" customHeight="1">
      <c r="A109" s="22"/>
      <c r="B109" s="37"/>
      <c r="C109" s="38"/>
      <c r="D109" s="38"/>
      <c r="E109" s="38"/>
      <c r="F109" s="38"/>
      <c r="G109" s="38"/>
      <c r="H109" s="38"/>
    </row>
    <row r="110" spans="1:10" ht="18" hidden="1" customHeight="1" outlineLevel="1">
      <c r="A110" t="s">
        <v>19</v>
      </c>
      <c r="B110" s="13">
        <f>init_pfd_recips</f>
        <v>654000</v>
      </c>
      <c r="C110" s="13">
        <f>B110*(1+div_growth)</f>
        <v>659755.19999999995</v>
      </c>
      <c r="D110" s="13">
        <f>C110*(1+div_growth)</f>
        <v>665561.04575999989</v>
      </c>
      <c r="E110" s="13">
        <f>D110*(1+div_growth)</f>
        <v>671417.98296268785</v>
      </c>
      <c r="F110" s="13">
        <f>E110*(1+div_growth)</f>
        <v>677326.46121275949</v>
      </c>
      <c r="G110" s="13">
        <f>F110*(1+div_growth)</f>
        <v>683286.93407143175</v>
      </c>
      <c r="H110" s="13"/>
      <c r="I110" s="44"/>
    </row>
    <row r="111" spans="1:10" ht="6.75" hidden="1" customHeight="1" outlineLevel="1">
      <c r="A111" s="12"/>
      <c r="C111" s="136" t="str">
        <f>IF(delay_SB128,"Ignore cuz Plan Delayed","")</f>
        <v/>
      </c>
      <c r="D111" s="20"/>
      <c r="E111" s="20"/>
      <c r="F111" s="20"/>
      <c r="G111" s="20"/>
      <c r="H111" s="20"/>
      <c r="I111" s="44"/>
    </row>
    <row r="112" spans="1:10" ht="18" hidden="1" customHeight="1" outlineLevel="1">
      <c r="A112" s="39" t="s">
        <v>270</v>
      </c>
      <c r="C112" s="13">
        <f>$B$49*C58</f>
        <v>505.13400000000001</v>
      </c>
      <c r="D112" s="13">
        <f>$B$49*D58</f>
        <v>539.05187982885536</v>
      </c>
      <c r="E112" s="13">
        <f>$B$49*E58</f>
        <v>566.43739975980748</v>
      </c>
      <c r="F112" s="13">
        <f>$B$49*F58</f>
        <v>583.3002946628518</v>
      </c>
      <c r="G112" s="13">
        <f>$B$49*G58</f>
        <v>599.57405302220832</v>
      </c>
      <c r="H112" s="13"/>
      <c r="I112" s="44"/>
    </row>
    <row r="113" spans="1:9" ht="18" hidden="1" customHeight="1" outlineLevel="1">
      <c r="A113" s="39" t="s">
        <v>241</v>
      </c>
      <c r="C113" s="13">
        <f>$B$50*(B7+B60)</f>
        <v>118.41999999999999</v>
      </c>
      <c r="D113" s="13">
        <f>$B$50*(C7+C60)</f>
        <v>139.73984098104108</v>
      </c>
      <c r="E113" s="13">
        <f>$B$50*(D7+D60)</f>
        <v>152.52821515615693</v>
      </c>
      <c r="F113" s="13">
        <f>$B$50*(E7+E60)</f>
        <v>156.389889640962</v>
      </c>
      <c r="G113" s="13">
        <f>$B$50*(F7+F60)</f>
        <v>161.02416967307718</v>
      </c>
      <c r="H113" s="13"/>
      <c r="I113" s="44"/>
    </row>
    <row r="114" spans="1:9" ht="18" hidden="1" customHeight="1" outlineLevel="1">
      <c r="A114" t="s">
        <v>242</v>
      </c>
      <c r="C114" s="2">
        <f>0.21*SUM('PF Model'!C70:G70)*'HB61'!$B$51</f>
        <v>0</v>
      </c>
      <c r="D114" s="2">
        <f>0.21*SUM('PF Model'!D70:H70)*'HB61'!$B$51</f>
        <v>0</v>
      </c>
      <c r="E114" s="2">
        <f>0.21*SUM('PF Model'!E70:I70)*'HB61'!$B$51</f>
        <v>0</v>
      </c>
      <c r="F114" s="2">
        <f>0.21*SUM('PF Model'!F70:J70)*'HB61'!$B$51</f>
        <v>0</v>
      </c>
      <c r="G114" s="2">
        <f>0.21*SUM('PF Model'!G70:K70)*'HB61'!$B$51</f>
        <v>0</v>
      </c>
      <c r="H114" s="1"/>
      <c r="I114" s="44"/>
    </row>
    <row r="115" spans="1:9" ht="18" hidden="1" customHeight="1" outlineLevel="1">
      <c r="A115" t="s">
        <v>229</v>
      </c>
      <c r="C115" s="13"/>
      <c r="D115" s="13"/>
      <c r="E115" s="13">
        <f>SUM(E112:E114)</f>
        <v>718.96561491596435</v>
      </c>
      <c r="F115" s="13">
        <f>SUM(F112:F114)</f>
        <v>739.69018430381379</v>
      </c>
      <c r="G115" s="13">
        <f>SUM(G112:G114)</f>
        <v>760.59822269528547</v>
      </c>
      <c r="H115" s="13"/>
      <c r="I115" s="44"/>
    </row>
    <row r="116" spans="1:9" ht="18" hidden="1" customHeight="1" outlineLevel="1">
      <c r="A116" t="s">
        <v>464</v>
      </c>
      <c r="C116" s="13">
        <f>$B$53*C110/1000000+div_expenses</f>
        <v>686.75519999999995</v>
      </c>
      <c r="D116" s="13">
        <f>$B$54*D110/1000000+div_expenses</f>
        <v>692.56104575999984</v>
      </c>
      <c r="E116" s="13"/>
      <c r="F116" s="13"/>
      <c r="G116" s="13"/>
      <c r="H116" s="13"/>
      <c r="I116" s="44"/>
    </row>
    <row r="117" spans="1:9" ht="18" hidden="1" customHeight="1" outlineLevel="1">
      <c r="A117" s="36" t="s">
        <v>36</v>
      </c>
      <c r="B117" s="50">
        <f>div_expenses</f>
        <v>27</v>
      </c>
      <c r="I117" s="44"/>
    </row>
    <row r="118" spans="1:9" ht="18" hidden="1" customHeight="1" outlineLevel="1">
      <c r="A118" t="s">
        <v>230</v>
      </c>
      <c r="C118" s="15">
        <f>IF(ISBLANK(C115),C116, C115)-$B$117</f>
        <v>659.75519999999995</v>
      </c>
      <c r="D118" s="15">
        <f t="shared" ref="D118:G118" si="31">IF(ISBLANK(D115),D116, D115)-$B$117</f>
        <v>665.56104575999984</v>
      </c>
      <c r="E118" s="15">
        <f t="shared" si="31"/>
        <v>691.96561491596435</v>
      </c>
      <c r="F118" s="15">
        <f t="shared" si="31"/>
        <v>712.69018430381379</v>
      </c>
      <c r="G118" s="15">
        <f t="shared" si="31"/>
        <v>733.59822269528547</v>
      </c>
      <c r="H118" s="15"/>
      <c r="I118" s="44"/>
    </row>
    <row r="119" spans="1:9" ht="18" hidden="1" customHeight="1" outlineLevel="1">
      <c r="A119" t="s">
        <v>37</v>
      </c>
      <c r="C119" s="38">
        <f>C118*1000000/C110</f>
        <v>1000.0000000000001</v>
      </c>
      <c r="D119" s="38">
        <f>D118*1000000/D110</f>
        <v>1000</v>
      </c>
      <c r="E119" s="38">
        <f>E118*1000000/E110</f>
        <v>1030.6033387169769</v>
      </c>
      <c r="F119" s="38">
        <f>F118*1000000/F110</f>
        <v>1052.210750821303</v>
      </c>
      <c r="G119" s="38">
        <f>G118*1000000/G110</f>
        <v>1073.631275698584</v>
      </c>
      <c r="H119" s="38"/>
      <c r="I119" s="44"/>
    </row>
    <row r="120" spans="1:9" ht="18" hidden="1" customHeight="1" outlineLevel="1">
      <c r="A120" t="s">
        <v>39</v>
      </c>
      <c r="C120" s="38">
        <f>IF(ISBLANK(C115),C119,MAX(C119,$B$55))</f>
        <v>1000.0000000000001</v>
      </c>
      <c r="D120" s="38">
        <f>IF(ISBLANK(D115),D119,MAX(D119,$B$55))</f>
        <v>1000</v>
      </c>
      <c r="E120" s="38">
        <f>IF(ISBLANK(E115),E119,MAX(E119,$B$55))</f>
        <v>1030.6033387169769</v>
      </c>
      <c r="F120" s="38">
        <f>IF(ISBLANK(F115),F119,MAX(F119,$B$55))</f>
        <v>1052.210750821303</v>
      </c>
      <c r="G120" s="38">
        <f>IF(ISBLANK(G115),G119,MAX(G119,$B$55))</f>
        <v>1073.631275698584</v>
      </c>
      <c r="H120" s="38"/>
      <c r="I120" s="44"/>
    </row>
    <row r="121" spans="1:9" ht="18" hidden="1" customHeight="1" outlineLevel="1">
      <c r="A121" t="s">
        <v>82</v>
      </c>
      <c r="C121" s="13">
        <f>(C120-C119)*C110/1000000</f>
        <v>0</v>
      </c>
      <c r="D121" s="13">
        <f>(D120-D119)*D110/1000000</f>
        <v>0</v>
      </c>
      <c r="E121" s="13">
        <f>(E120-E119)*E110/1000000</f>
        <v>0</v>
      </c>
      <c r="F121" s="13">
        <f>(F120-F119)*F110/1000000</f>
        <v>0</v>
      </c>
      <c r="G121" s="13">
        <f>(G120-G119)*G110/1000000</f>
        <v>0</v>
      </c>
      <c r="H121" s="13" t="e">
        <f>(H120-#REF!)*H110/1000000</f>
        <v>#REF!</v>
      </c>
      <c r="I121" s="44"/>
    </row>
    <row r="122" spans="1:9" ht="18" customHeight="1" collapsed="1"/>
  </sheetData>
  <pageMargins left="0.7" right="0.56000000000000005" top="0.5" bottom="0.42" header="0.19" footer="0.13"/>
  <pageSetup scale="52" orientation="portrait" horizontalDpi="4294967293" verticalDpi="4294967293" r:id="rId1"/>
  <headerFooter>
    <oddHeader>&amp;L&amp;A Sheet&amp;C&amp;"-,Bold"&amp;16Alaska Economy Choices&amp;RPage &amp;P of &amp;N</oddHeader>
    <oddFooter>&amp;L&amp;Z&amp;F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6" r:id="rId4" name="Check Box 72">
              <controlPr defaultSize="0" autoFill="0" autoLine="0" autoPict="0">
                <anchor moveWithCells="1">
                  <from>
                    <xdr:col>0</xdr:col>
                    <xdr:colOff>114300</xdr:colOff>
                    <xdr:row>37</xdr:row>
                    <xdr:rowOff>9525</xdr:rowOff>
                  </from>
                  <to>
                    <xdr:col>0</xdr:col>
                    <xdr:colOff>3248025</xdr:colOff>
                    <xdr:row>38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U43"/>
  <sheetViews>
    <sheetView showGridLines="0" topLeftCell="A3" zoomScaleNormal="100" workbookViewId="0">
      <selection activeCell="B8" sqref="B8"/>
    </sheetView>
  </sheetViews>
  <sheetFormatPr defaultRowHeight="15"/>
  <cols>
    <col min="20" max="20" width="9.42578125" bestFit="1" customWidth="1"/>
    <col min="21" max="21" width="10.5703125" bestFit="1" customWidth="1"/>
  </cols>
  <sheetData>
    <row r="1" spans="1:21" ht="23.25" hidden="1">
      <c r="A1" s="390"/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</row>
    <row r="2" spans="1:21" ht="19.5" hidden="1" customHeight="1">
      <c r="A2" s="40"/>
      <c r="D2" s="61"/>
      <c r="O2" s="168"/>
    </row>
    <row r="3" spans="1:21" ht="19.5" customHeight="1">
      <c r="A3" s="12" t="s">
        <v>150</v>
      </c>
      <c r="D3" s="61"/>
      <c r="N3" s="10" t="s">
        <v>317</v>
      </c>
    </row>
    <row r="4" spans="1:21" ht="15.75">
      <c r="A4" t="s">
        <v>279</v>
      </c>
      <c r="B4" t="s">
        <v>475</v>
      </c>
      <c r="G4" s="42" t="s">
        <v>0</v>
      </c>
      <c r="H4" s="43" t="s">
        <v>12</v>
      </c>
      <c r="I4" s="42" t="s">
        <v>13</v>
      </c>
      <c r="J4" s="43" t="s">
        <v>14</v>
      </c>
      <c r="K4" s="42" t="s">
        <v>15</v>
      </c>
      <c r="L4" s="43" t="s">
        <v>301</v>
      </c>
      <c r="N4" s="141" t="s">
        <v>318</v>
      </c>
    </row>
    <row r="5" spans="1:21">
      <c r="F5" s="36" t="s">
        <v>101</v>
      </c>
      <c r="G5" s="83">
        <f>'HB61'!B5</f>
        <v>46.81</v>
      </c>
      <c r="H5" s="83">
        <f>'HB61'!C5</f>
        <v>54</v>
      </c>
      <c r="I5" s="83">
        <f>'HB61'!D5</f>
        <v>60</v>
      </c>
      <c r="J5" s="83">
        <f>'HB61'!E5</f>
        <v>63</v>
      </c>
      <c r="K5" s="83">
        <f>'HB61'!F5</f>
        <v>67</v>
      </c>
      <c r="L5" s="83">
        <f>'HB61'!G5</f>
        <v>71</v>
      </c>
      <c r="R5" t="s">
        <v>388</v>
      </c>
    </row>
    <row r="6" spans="1:21">
      <c r="F6" s="36" t="s">
        <v>476</v>
      </c>
      <c r="G6" s="41"/>
      <c r="H6" s="41">
        <f>'HB61'!C91</f>
        <v>0</v>
      </c>
      <c r="I6" s="41">
        <f>'HB61'!D91</f>
        <v>0</v>
      </c>
      <c r="J6" s="41">
        <f>'HB61'!E91</f>
        <v>0</v>
      </c>
      <c r="K6" s="41">
        <f>'HB61'!F91</f>
        <v>0</v>
      </c>
      <c r="L6" s="41">
        <f>'HB61'!G91</f>
        <v>0</v>
      </c>
      <c r="R6" t="s">
        <v>389</v>
      </c>
    </row>
    <row r="7" spans="1:21">
      <c r="F7" s="36"/>
      <c r="G7" s="41"/>
      <c r="H7" s="41"/>
      <c r="I7" s="41"/>
      <c r="J7" s="41"/>
      <c r="K7" s="41"/>
      <c r="L7" s="41"/>
    </row>
    <row r="8" spans="1:21" s="149" customFormat="1">
      <c r="F8" s="36"/>
      <c r="G8" s="41"/>
      <c r="H8" s="41"/>
      <c r="I8" s="41"/>
      <c r="J8" s="41"/>
      <c r="K8" s="41"/>
      <c r="L8" s="41"/>
    </row>
    <row r="12" spans="1:21">
      <c r="U12" s="13"/>
    </row>
    <row r="13" spans="1:21">
      <c r="U13" s="13"/>
    </row>
    <row r="14" spans="1:21">
      <c r="U14" s="63"/>
    </row>
    <row r="43" spans="10:10" ht="15.75">
      <c r="J43" s="25"/>
    </row>
  </sheetData>
  <mergeCells count="1">
    <mergeCell ref="A1:P1"/>
  </mergeCells>
  <pageMargins left="0.7" right="0.7" top="0.75" bottom="0.75" header="0.3" footer="0.3"/>
  <pageSetup scale="78" orientation="landscape" horizontalDpi="4294967293" verticalDpi="4294967293" r:id="rId1"/>
  <headerFooter>
    <oddHeader>&amp;L&amp;A&amp;C&amp;"-,Bold"&amp;14Alaska Economy Choices&amp;RPage &amp;P of &amp;N</oddHeader>
    <oddFooter>&amp;L&amp;Z&amp;F</oddFooter>
  </headerFooter>
  <colBreaks count="1" manualBreakCount="1">
    <brk id="8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1" r:id="rId4" name="btnToggle2ndSQ">
              <controlPr defaultSize="0" print="0" autoFill="0" autoPict="0" macro="[0]!Toggle2ndSQ">
                <anchor moveWithCells="1" sizeWithCells="1">
                  <from>
                    <xdr:col>12</xdr:col>
                    <xdr:colOff>561975</xdr:colOff>
                    <xdr:row>4</xdr:row>
                    <xdr:rowOff>19050</xdr:rowOff>
                  </from>
                  <to>
                    <xdr:col>16</xdr:col>
                    <xdr:colOff>104775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5" name="Button 6">
              <controlPr defaultSize="0" print="0" autoFill="0" autoPict="0" macro="[0]!CopyToSQ2">
                <anchor moveWithCells="1" sizeWithCells="1">
                  <from>
                    <xdr:col>12</xdr:col>
                    <xdr:colOff>552450</xdr:colOff>
                    <xdr:row>5</xdr:row>
                    <xdr:rowOff>152400</xdr:rowOff>
                  </from>
                  <to>
                    <xdr:col>16</xdr:col>
                    <xdr:colOff>114300</xdr:colOff>
                    <xdr:row>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1">
    <pageSetUpPr fitToPage="1"/>
  </sheetPr>
  <dimension ref="A1:N76"/>
  <sheetViews>
    <sheetView zoomScale="120" zoomScaleNormal="120" workbookViewId="0">
      <selection activeCell="A2" sqref="A2"/>
    </sheetView>
  </sheetViews>
  <sheetFormatPr defaultColWidth="9.140625" defaultRowHeight="18" customHeight="1" outlineLevelRow="1"/>
  <cols>
    <col min="1" max="1" width="50.28515625" style="149" customWidth="1"/>
    <col min="2" max="7" width="13.7109375" style="149" customWidth="1"/>
    <col min="8" max="8" width="1.42578125" style="149" customWidth="1"/>
    <col min="9" max="9" width="7.140625" style="149" customWidth="1"/>
    <col min="10" max="10" width="12.28515625" style="149" customWidth="1"/>
    <col min="11" max="11" width="9.42578125" style="149" customWidth="1"/>
    <col min="12" max="16384" width="9.140625" style="149"/>
  </cols>
  <sheetData>
    <row r="1" spans="1:9" ht="18" customHeight="1">
      <c r="A1" s="12" t="s">
        <v>150</v>
      </c>
    </row>
    <row r="2" spans="1:9" ht="18" customHeight="1">
      <c r="A2" s="45" t="s">
        <v>590</v>
      </c>
    </row>
    <row r="3" spans="1:9" ht="30">
      <c r="A3" s="132"/>
      <c r="B3" s="4" t="s">
        <v>4</v>
      </c>
      <c r="C3" s="4" t="s">
        <v>2</v>
      </c>
      <c r="D3" s="4" t="s">
        <v>3</v>
      </c>
      <c r="E3" s="4"/>
    </row>
    <row r="4" spans="1:9" ht="18" customHeight="1">
      <c r="B4" s="11" t="s">
        <v>107</v>
      </c>
      <c r="C4" s="11" t="s">
        <v>108</v>
      </c>
      <c r="D4" s="11" t="s">
        <v>109</v>
      </c>
      <c r="E4" s="11" t="s">
        <v>110</v>
      </c>
      <c r="F4" s="11" t="s">
        <v>111</v>
      </c>
      <c r="G4" s="11" t="s">
        <v>285</v>
      </c>
      <c r="H4" s="46"/>
      <c r="I4" s="3"/>
    </row>
    <row r="5" spans="1:9" ht="18" customHeight="1">
      <c r="A5" s="149" t="str">
        <f>'HB61'!A5</f>
        <v>Average Oil Price, Alaska North Slope, $/barrel</v>
      </c>
      <c r="B5" s="116">
        <f>'Common Inputs'!B11</f>
        <v>46.81</v>
      </c>
      <c r="C5" s="116">
        <f>'Common Inputs'!C11</f>
        <v>54</v>
      </c>
      <c r="D5" s="116">
        <f>'Common Inputs'!D11</f>
        <v>60</v>
      </c>
      <c r="E5" s="116">
        <f>'Common Inputs'!E11</f>
        <v>63</v>
      </c>
      <c r="F5" s="116">
        <f>'Common Inputs'!F11</f>
        <v>67</v>
      </c>
      <c r="G5" s="116">
        <f>'Common Inputs'!G11</f>
        <v>71</v>
      </c>
      <c r="H5" s="57"/>
      <c r="I5" s="115" t="s">
        <v>186</v>
      </c>
    </row>
    <row r="6" spans="1:9" ht="18" customHeight="1">
      <c r="A6" s="31" t="str">
        <f>'HB61'!A6</f>
        <v>Average Oil Production, thousand barrels/day</v>
      </c>
      <c r="B6" s="51">
        <f>'Common Inputs'!B12</f>
        <v>505.8</v>
      </c>
      <c r="C6" s="51">
        <f>'Common Inputs'!C12</f>
        <v>469.7</v>
      </c>
      <c r="D6" s="51">
        <f>'Common Inputs'!D12</f>
        <v>457.8</v>
      </c>
      <c r="E6" s="51">
        <f>'Common Inputs'!E12</f>
        <v>443.1</v>
      </c>
      <c r="F6" s="51">
        <f>'Common Inputs'!F12</f>
        <v>426.5</v>
      </c>
      <c r="G6" s="51">
        <f>'Common Inputs'!G12</f>
        <v>410</v>
      </c>
      <c r="H6" s="52"/>
      <c r="I6" s="115" t="s">
        <v>186</v>
      </c>
    </row>
    <row r="7" spans="1:9" ht="18" customHeight="1">
      <c r="A7" s="149" t="str">
        <f>'HB61'!A7</f>
        <v>Unrestricted Petroleum Royalties, $ mil.</v>
      </c>
      <c r="B7" s="6">
        <f>'HB61'!B7</f>
        <v>592.09999999999991</v>
      </c>
      <c r="C7" s="6">
        <f>'HB61'!C7</f>
        <v>645.39999999999986</v>
      </c>
      <c r="D7" s="6">
        <f>'HB61'!D7</f>
        <v>702.19999999999993</v>
      </c>
      <c r="E7" s="6">
        <f>'HB61'!E7</f>
        <v>713.09999999999991</v>
      </c>
      <c r="F7" s="6">
        <f>'HB61'!F7</f>
        <v>729.1</v>
      </c>
      <c r="G7" s="6">
        <f>'HB61'!G7</f>
        <v>747.00000000000011</v>
      </c>
      <c r="H7" s="6"/>
      <c r="I7" s="3"/>
    </row>
    <row r="8" spans="1:9" ht="18" customHeight="1">
      <c r="A8" s="149" t="str">
        <f>'HB61'!A8</f>
        <v>Other Unrestricted Petroleum Revenues, $ mil.</v>
      </c>
      <c r="B8" s="6">
        <f>'HB61'!B8</f>
        <v>374.9</v>
      </c>
      <c r="C8" s="6">
        <f>'HB61'!C8</f>
        <v>454.4</v>
      </c>
      <c r="D8" s="6">
        <f>'HB61'!D8</f>
        <v>641.90000000000009</v>
      </c>
      <c r="E8" s="6">
        <f>'HB61'!E8</f>
        <v>647.40000000000009</v>
      </c>
      <c r="F8" s="6">
        <f>'HB61'!F8</f>
        <v>649.09999999999991</v>
      </c>
      <c r="G8" s="6">
        <f>'HB61'!G8</f>
        <v>683.7</v>
      </c>
      <c r="H8" s="6"/>
      <c r="I8" s="3"/>
    </row>
    <row r="9" spans="1:9" ht="18" customHeight="1">
      <c r="A9" s="149" t="str">
        <f>'HB61'!A9</f>
        <v>Non-Petroleum + UGF Invest. Revenues, $ mil.</v>
      </c>
      <c r="B9" s="51">
        <f>'HB61'!B9</f>
        <v>479.8</v>
      </c>
      <c r="C9" s="51">
        <f>'HB61'!C9</f>
        <v>524.29999999999995</v>
      </c>
      <c r="D9" s="51">
        <f>'HB61'!D9</f>
        <v>528.5</v>
      </c>
      <c r="E9" s="51">
        <f>'HB61'!E9</f>
        <v>546.20000000000005</v>
      </c>
      <c r="F9" s="51">
        <f>'HB61'!F9</f>
        <v>565.29999999999995</v>
      </c>
      <c r="G9" s="51">
        <f>'HB61'!G9</f>
        <v>581.70000000000005</v>
      </c>
      <c r="H9" s="52"/>
      <c r="I9" s="3"/>
    </row>
    <row r="10" spans="1:9" s="16" customFormat="1" ht="18" customHeight="1">
      <c r="A10" s="178" t="str">
        <f>'HB61'!A10</f>
        <v>Total UGF Revenues, $ mil.</v>
      </c>
      <c r="B10" s="179">
        <f>SUM(B7:B9)</f>
        <v>1446.8</v>
      </c>
      <c r="C10" s="179">
        <f t="shared" ref="C10:G10" si="0">SUM(C7:C9)</f>
        <v>1624.0999999999997</v>
      </c>
      <c r="D10" s="179">
        <f t="shared" si="0"/>
        <v>1872.6</v>
      </c>
      <c r="E10" s="179">
        <f t="shared" si="0"/>
        <v>1906.7</v>
      </c>
      <c r="F10" s="179">
        <f t="shared" si="0"/>
        <v>1943.4999999999998</v>
      </c>
      <c r="G10" s="179">
        <f t="shared" si="0"/>
        <v>2012.4000000000003</v>
      </c>
      <c r="H10" s="125"/>
      <c r="I10" s="123"/>
    </row>
    <row r="11" spans="1:9" s="16" customFormat="1" ht="18" customHeight="1">
      <c r="A11" s="16" t="str">
        <f>'HB61'!A11</f>
        <v>UGF Operating Spending, execpt Oil Tax Credits, $ mil.</v>
      </c>
      <c r="B11" s="128">
        <f>'Common Inputs'!B24</f>
        <v>4246.8</v>
      </c>
      <c r="C11" s="128">
        <f>'Common Inputs'!C24</f>
        <v>4167.5</v>
      </c>
      <c r="D11" s="128">
        <f>'Common Inputs'!D24</f>
        <v>4150.2</v>
      </c>
      <c r="E11" s="128">
        <f>'Common Inputs'!E24</f>
        <v>4122.2</v>
      </c>
      <c r="F11" s="128">
        <f>'Common Inputs'!F24</f>
        <v>4217.5</v>
      </c>
      <c r="G11" s="128">
        <f>'Common Inputs'!G24</f>
        <v>4298.1000000000004</v>
      </c>
      <c r="H11" s="125"/>
      <c r="I11" s="115" t="s">
        <v>336</v>
      </c>
    </row>
    <row r="12" spans="1:9" s="16" customFormat="1" ht="18" customHeight="1">
      <c r="A12" s="16" t="str">
        <f>'HB61'!A12</f>
        <v>UGF Capital Spending</v>
      </c>
      <c r="B12" s="128">
        <f>'Common Inputs'!B26</f>
        <v>96.1</v>
      </c>
      <c r="C12" s="128">
        <f>'Common Inputs'!C26</f>
        <v>115.2</v>
      </c>
      <c r="D12" s="128">
        <f>'Common Inputs'!D26</f>
        <v>180</v>
      </c>
      <c r="E12" s="128">
        <f>'Common Inputs'!E26</f>
        <v>180</v>
      </c>
      <c r="F12" s="128">
        <f>'Common Inputs'!F26</f>
        <v>180</v>
      </c>
      <c r="G12" s="128">
        <f>'Common Inputs'!G26</f>
        <v>180</v>
      </c>
      <c r="H12" s="125"/>
      <c r="I12" s="115"/>
    </row>
    <row r="13" spans="1:9" s="16" customFormat="1" ht="18" customHeight="1">
      <c r="A13" s="175" t="str">
        <f>'HB61'!A13</f>
        <v>Oil Tax Credit Spending, $ mil.</v>
      </c>
      <c r="B13" s="128">
        <f>'Common Inputs'!B35</f>
        <v>30</v>
      </c>
      <c r="C13" s="128">
        <f>'Common Inputs'!C35</f>
        <v>961</v>
      </c>
      <c r="D13" s="128">
        <f>'Common Inputs'!D35</f>
        <v>223</v>
      </c>
      <c r="E13" s="128">
        <f>'Common Inputs'!E35</f>
        <v>192</v>
      </c>
      <c r="F13" s="128">
        <f>'Common Inputs'!F35</f>
        <v>151</v>
      </c>
      <c r="G13" s="128">
        <f>'Common Inputs'!G35</f>
        <v>150</v>
      </c>
      <c r="H13" s="117"/>
      <c r="I13" s="123"/>
    </row>
    <row r="14" spans="1:9" s="16" customFormat="1" ht="18" customHeight="1">
      <c r="A14" s="126" t="str">
        <f>'HB61'!A14</f>
        <v>Supplemental Spending, $ mil.</v>
      </c>
      <c r="B14" s="127">
        <f>'Common Inputs'!B25</f>
        <v>0</v>
      </c>
      <c r="C14" s="127">
        <f>'Common Inputs'!C25</f>
        <v>0</v>
      </c>
      <c r="D14" s="127">
        <f>'Common Inputs'!D25</f>
        <v>0</v>
      </c>
      <c r="E14" s="127">
        <f>'Common Inputs'!E25</f>
        <v>0</v>
      </c>
      <c r="F14" s="127">
        <f>'Common Inputs'!F25</f>
        <v>0</v>
      </c>
      <c r="G14" s="127">
        <f>'Common Inputs'!G25</f>
        <v>0</v>
      </c>
      <c r="H14" s="117"/>
      <c r="I14" s="123"/>
    </row>
    <row r="15" spans="1:9" s="16" customFormat="1" ht="18" customHeight="1">
      <c r="A15" s="175" t="str">
        <f>'HB61'!A15</f>
        <v>Total Spending, $ mil.</v>
      </c>
      <c r="B15" s="128">
        <f>SUM(B11:B14)</f>
        <v>4372.9000000000005</v>
      </c>
      <c r="C15" s="128">
        <f t="shared" ref="C15:G15" si="1">SUM(C11:C14)</f>
        <v>5243.7</v>
      </c>
      <c r="D15" s="128">
        <f t="shared" si="1"/>
        <v>4553.2</v>
      </c>
      <c r="E15" s="128">
        <f t="shared" si="1"/>
        <v>4494.2</v>
      </c>
      <c r="F15" s="128">
        <f t="shared" si="1"/>
        <v>4548.5</v>
      </c>
      <c r="G15" s="128">
        <f t="shared" si="1"/>
        <v>4628.1000000000004</v>
      </c>
      <c r="H15" s="117"/>
      <c r="I15" s="123"/>
    </row>
    <row r="16" spans="1:9" s="16" customFormat="1" ht="18" customHeight="1" thickBot="1">
      <c r="A16" s="184" t="str">
        <f>'HB61'!A16</f>
        <v>Fiscal Gap (negative is Gap), $ mil.</v>
      </c>
      <c r="B16" s="185">
        <f>B10-B15</f>
        <v>-2926.1000000000004</v>
      </c>
      <c r="C16" s="185">
        <f t="shared" ref="C16:G16" si="2">C10-C15</f>
        <v>-3619.6000000000004</v>
      </c>
      <c r="D16" s="185">
        <f t="shared" si="2"/>
        <v>-2680.6</v>
      </c>
      <c r="E16" s="185">
        <f t="shared" si="2"/>
        <v>-2587.5</v>
      </c>
      <c r="F16" s="185">
        <f t="shared" si="2"/>
        <v>-2605</v>
      </c>
      <c r="G16" s="185">
        <f t="shared" si="2"/>
        <v>-2615.6999999999998</v>
      </c>
      <c r="H16" s="125"/>
      <c r="I16" s="123"/>
    </row>
    <row r="17" spans="1:9" ht="18" customHeight="1" thickTop="1">
      <c r="A17" s="161" t="s">
        <v>310</v>
      </c>
      <c r="B17" s="155"/>
      <c r="C17" s="155"/>
      <c r="D17" s="155"/>
      <c r="E17" s="155"/>
      <c r="F17" s="155"/>
      <c r="G17" s="155"/>
      <c r="H17" s="156"/>
      <c r="I17" s="44"/>
    </row>
    <row r="18" spans="1:9" ht="6" customHeight="1">
      <c r="A18" s="76"/>
      <c r="B18" s="157"/>
      <c r="C18" s="157"/>
      <c r="D18" s="157"/>
      <c r="E18" s="157"/>
      <c r="F18" s="157"/>
      <c r="G18" s="157"/>
      <c r="H18" s="158"/>
      <c r="I18" s="44"/>
    </row>
    <row r="19" spans="1:9" ht="18" customHeight="1">
      <c r="A19" s="76" t="b">
        <v>0</v>
      </c>
      <c r="B19" s="180" t="s">
        <v>341</v>
      </c>
      <c r="C19" s="157"/>
      <c r="D19" s="157"/>
      <c r="E19" s="157"/>
      <c r="F19" s="157"/>
      <c r="G19" s="157"/>
      <c r="H19" s="158"/>
      <c r="I19" s="44"/>
    </row>
    <row r="20" spans="1:9" ht="8.25" customHeight="1">
      <c r="A20" s="76"/>
      <c r="B20" s="157"/>
      <c r="C20" s="157"/>
      <c r="D20" s="157"/>
      <c r="E20" s="157"/>
      <c r="F20" s="157"/>
      <c r="G20" s="157"/>
      <c r="H20" s="158"/>
      <c r="I20" s="44"/>
    </row>
    <row r="21" spans="1:9" ht="15">
      <c r="A21" s="76" t="s">
        <v>593</v>
      </c>
      <c r="B21" s="131">
        <v>2.2499999999999999E-2</v>
      </c>
      <c r="C21" s="180" t="s">
        <v>594</v>
      </c>
      <c r="D21" s="157"/>
      <c r="E21" s="338" t="str">
        <f>IF(OR(B21&lt;0.0225, B21&gt;0.045),"Must be between 2.25% and 4.5%","")</f>
        <v/>
      </c>
      <c r="F21" s="157"/>
      <c r="G21" s="157"/>
      <c r="H21" s="158"/>
      <c r="I21" s="44"/>
    </row>
    <row r="22" spans="1:9" ht="15">
      <c r="A22" s="5" t="s">
        <v>595</v>
      </c>
      <c r="B22" s="131">
        <v>2.2499999999999999E-2</v>
      </c>
      <c r="C22" s="180" t="s">
        <v>596</v>
      </c>
      <c r="D22" s="157"/>
      <c r="E22" s="338" t="str">
        <f>IF(OR(SUM(B21:B22)&gt;0.045,B22&lt;0,B22&gt;0.0225),"Improper POMV","")</f>
        <v/>
      </c>
      <c r="F22" s="157"/>
      <c r="G22" s="157"/>
      <c r="H22" s="158"/>
      <c r="I22" s="44"/>
    </row>
    <row r="23" spans="1:9" ht="15">
      <c r="A23" s="5"/>
      <c r="B23" s="131"/>
      <c r="C23" s="180" t="s">
        <v>597</v>
      </c>
      <c r="D23" s="157"/>
      <c r="E23" s="157"/>
      <c r="F23" s="157"/>
      <c r="G23" s="157"/>
      <c r="H23" s="158"/>
      <c r="I23" s="44"/>
    </row>
    <row r="24" spans="1:9" ht="15">
      <c r="A24" s="5"/>
      <c r="B24" s="182"/>
      <c r="C24" s="180"/>
      <c r="D24" s="157"/>
      <c r="E24" s="157"/>
      <c r="F24" s="157"/>
      <c r="G24" s="157"/>
      <c r="H24" s="158"/>
      <c r="I24" s="44"/>
    </row>
    <row r="25" spans="1:9" ht="15">
      <c r="A25" s="232" t="s">
        <v>234</v>
      </c>
      <c r="B25" s="337">
        <v>999.9</v>
      </c>
      <c r="C25" s="236" t="s">
        <v>478</v>
      </c>
      <c r="D25" s="157"/>
      <c r="E25" s="157"/>
      <c r="F25" s="157"/>
      <c r="G25" s="157"/>
      <c r="H25" s="158"/>
      <c r="I25" s="44"/>
    </row>
    <row r="26" spans="1:9" ht="15">
      <c r="A26" s="232"/>
      <c r="B26" s="242"/>
      <c r="C26" s="236" t="s">
        <v>601</v>
      </c>
      <c r="D26" s="157"/>
      <c r="E26" s="157"/>
      <c r="F26" s="157"/>
      <c r="G26" s="157"/>
      <c r="H26" s="158"/>
      <c r="I26" s="44"/>
    </row>
    <row r="27" spans="1:9" ht="15">
      <c r="A27" s="143" t="s">
        <v>718</v>
      </c>
      <c r="B27" s="361">
        <v>0</v>
      </c>
      <c r="C27" s="236" t="s">
        <v>71</v>
      </c>
      <c r="D27" s="157"/>
      <c r="E27" s="157"/>
      <c r="F27" s="157"/>
      <c r="G27" s="157"/>
      <c r="H27" s="158"/>
      <c r="I27" s="44"/>
    </row>
    <row r="28" spans="1:9" ht="7.5" customHeight="1">
      <c r="A28" s="232"/>
      <c r="B28" s="242"/>
      <c r="C28" s="236"/>
      <c r="D28" s="157"/>
      <c r="E28" s="157"/>
      <c r="F28" s="157"/>
      <c r="G28" s="157"/>
      <c r="H28" s="158"/>
      <c r="I28" s="44"/>
    </row>
    <row r="29" spans="1:9" ht="18" customHeight="1" thickBot="1">
      <c r="A29" s="291" t="str">
        <f>"Default FY18+ CBR Return is "&amp;TEXT(return_cbr, "0.00%")&amp;"."</f>
        <v>Default FY18+ CBR Return is 2.89%.</v>
      </c>
      <c r="B29" s="53"/>
      <c r="C29" s="5"/>
      <c r="D29" s="5"/>
      <c r="E29" s="5"/>
      <c r="F29" s="157"/>
      <c r="G29" s="157"/>
      <c r="H29" s="158"/>
      <c r="I29" s="44"/>
    </row>
    <row r="30" spans="1:9" ht="15.75" thickBot="1">
      <c r="A30" s="76" t="s">
        <v>313</v>
      </c>
      <c r="B30" s="129"/>
      <c r="C30" s="162" t="s">
        <v>490</v>
      </c>
      <c r="D30" s="5"/>
      <c r="E30" s="157"/>
      <c r="F30" s="157"/>
      <c r="G30" s="157"/>
      <c r="H30" s="158"/>
      <c r="I30" s="44"/>
    </row>
    <row r="31" spans="1:9" ht="8.25" customHeight="1">
      <c r="A31" s="76"/>
      <c r="B31" s="157"/>
      <c r="C31" s="157"/>
      <c r="D31" s="157"/>
      <c r="E31" s="157"/>
      <c r="F31" s="157"/>
      <c r="G31" s="157"/>
      <c r="H31" s="158"/>
      <c r="I31" s="44"/>
    </row>
    <row r="32" spans="1:9" ht="8.25" customHeight="1" thickBot="1">
      <c r="A32" s="80"/>
      <c r="B32" s="159"/>
      <c r="C32" s="159"/>
      <c r="D32" s="159"/>
      <c r="E32" s="159"/>
      <c r="F32" s="159"/>
      <c r="G32" s="159"/>
      <c r="H32" s="160"/>
      <c r="I32" s="44"/>
    </row>
    <row r="33" spans="1:14" ht="18" customHeight="1" thickTop="1">
      <c r="A33" s="73" t="s">
        <v>5</v>
      </c>
      <c r="B33" s="318" t="s">
        <v>721</v>
      </c>
      <c r="C33" s="318" t="s">
        <v>551</v>
      </c>
      <c r="D33" s="318" t="s">
        <v>552</v>
      </c>
      <c r="E33" s="318" t="s">
        <v>553</v>
      </c>
      <c r="F33" s="318" t="s">
        <v>554</v>
      </c>
      <c r="G33" s="318" t="s">
        <v>555</v>
      </c>
      <c r="H33" s="74"/>
      <c r="I33" s="3"/>
    </row>
    <row r="34" spans="1:14" ht="18" customHeight="1">
      <c r="A34" s="76" t="s">
        <v>602</v>
      </c>
      <c r="B34" s="53"/>
      <c r="C34" s="53">
        <f>-'PF Model'!H179</f>
        <v>1164.6736710618329</v>
      </c>
      <c r="D34" s="53">
        <f>-'PF Model'!I179</f>
        <v>1224.8835127486643</v>
      </c>
      <c r="E34" s="53">
        <f>-'PF Model'!J179</f>
        <v>1264.4585930531166</v>
      </c>
      <c r="F34" s="53">
        <f>-'PF Model'!K179</f>
        <v>1305.1385253883479</v>
      </c>
      <c r="G34" s="53">
        <f>-'PF Model'!L179</f>
        <v>1351.3302785926087</v>
      </c>
      <c r="H34" s="173"/>
      <c r="I34" s="3"/>
    </row>
    <row r="35" spans="1:14" ht="18" customHeight="1">
      <c r="A35" s="76" t="s">
        <v>233</v>
      </c>
      <c r="B35" s="53"/>
      <c r="C35" s="53">
        <f>IF(reduce_royalty_SB21,(0.745-'HB61'!C24)*'HB61'!C23, 0)</f>
        <v>0</v>
      </c>
      <c r="D35" s="53">
        <f>IF(reduce_royalty_SB21,(0.745-'HB61'!D24)*'HB61'!D23, 0)</f>
        <v>0</v>
      </c>
      <c r="E35" s="53">
        <f>IF(reduce_royalty_SB21,(0.745-'HB61'!E24)*'HB61'!E23, 0)</f>
        <v>0</v>
      </c>
      <c r="F35" s="53">
        <f>IF(reduce_royalty_SB21,(0.745-'HB61'!F24)*'HB61'!F23, 0)</f>
        <v>0</v>
      </c>
      <c r="G35" s="53">
        <f>IF(reduce_royalty_SB21,(0.745-'HB61'!G24)*'HB61'!G23, 0)</f>
        <v>0</v>
      </c>
      <c r="H35" s="173"/>
      <c r="I35" s="3"/>
    </row>
    <row r="36" spans="1:14" ht="18" customHeight="1" thickBot="1">
      <c r="A36" s="186" t="s">
        <v>720</v>
      </c>
      <c r="B36" s="53">
        <f>B27</f>
        <v>0</v>
      </c>
      <c r="C36" s="53"/>
      <c r="D36" s="53"/>
      <c r="E36" s="53"/>
      <c r="F36" s="53"/>
      <c r="G36" s="53"/>
      <c r="H36" s="173"/>
      <c r="I36" s="3"/>
    </row>
    <row r="37" spans="1:14" ht="7.5" customHeight="1" thickTop="1" thickBot="1">
      <c r="A37" s="186"/>
      <c r="B37" s="53"/>
      <c r="C37" s="117"/>
      <c r="D37" s="117"/>
      <c r="E37" s="117"/>
      <c r="F37" s="117"/>
      <c r="G37" s="117"/>
      <c r="H37" s="181"/>
      <c r="I37" s="3"/>
    </row>
    <row r="38" spans="1:14" ht="18" customHeight="1" thickTop="1">
      <c r="A38" s="135" t="s">
        <v>204</v>
      </c>
      <c r="B38" s="37"/>
      <c r="C38" s="37"/>
      <c r="D38" s="37"/>
      <c r="E38" s="37"/>
      <c r="F38" s="37"/>
      <c r="G38" s="37"/>
      <c r="H38" s="75"/>
    </row>
    <row r="39" spans="1:14" ht="18" customHeight="1">
      <c r="A39" s="77"/>
      <c r="B39" s="37"/>
      <c r="C39" s="37"/>
      <c r="D39" s="37"/>
      <c r="E39" s="37"/>
      <c r="F39" s="37"/>
      <c r="G39" s="37"/>
      <c r="H39" s="78"/>
      <c r="J39" s="37"/>
      <c r="K39" s="37"/>
      <c r="L39" s="37"/>
      <c r="M39" s="37"/>
      <c r="N39" s="37"/>
    </row>
    <row r="40" spans="1:14" ht="18" customHeight="1">
      <c r="A40" s="77"/>
      <c r="B40" s="37"/>
      <c r="C40" s="37"/>
      <c r="D40" s="37"/>
      <c r="E40" s="37"/>
      <c r="F40" s="37"/>
      <c r="G40" s="37"/>
      <c r="H40" s="78"/>
    </row>
    <row r="41" spans="1:14" ht="18" customHeight="1">
      <c r="A41" s="77"/>
      <c r="B41" s="37"/>
      <c r="C41" s="37"/>
      <c r="D41" s="37"/>
      <c r="E41" s="37"/>
      <c r="F41" s="37"/>
      <c r="G41" s="37"/>
      <c r="H41" s="78"/>
    </row>
    <row r="42" spans="1:14" ht="18" customHeight="1">
      <c r="A42" s="77"/>
      <c r="B42" s="37"/>
      <c r="C42" s="37"/>
      <c r="D42" s="37"/>
      <c r="E42" s="37"/>
      <c r="F42" s="37"/>
      <c r="G42" s="37"/>
      <c r="H42" s="78"/>
      <c r="J42" s="37"/>
      <c r="K42" s="37"/>
      <c r="L42" s="37"/>
      <c r="M42" s="37"/>
      <c r="N42" s="37"/>
    </row>
    <row r="43" spans="1:14" ht="18" customHeight="1">
      <c r="A43" s="77"/>
      <c r="B43" s="37"/>
      <c r="C43" s="37"/>
      <c r="D43" s="37"/>
      <c r="E43" s="37"/>
      <c r="F43" s="37"/>
      <c r="G43" s="37"/>
      <c r="H43" s="78"/>
      <c r="J43" s="37"/>
      <c r="K43" s="37"/>
      <c r="L43" s="37"/>
      <c r="M43" s="37"/>
      <c r="N43" s="37"/>
    </row>
    <row r="44" spans="1:14" ht="18" customHeight="1">
      <c r="A44" s="77"/>
      <c r="B44" s="37"/>
      <c r="C44" s="137"/>
      <c r="D44" s="137"/>
      <c r="E44" s="137"/>
      <c r="F44" s="137"/>
      <c r="G44" s="137"/>
      <c r="H44" s="78"/>
    </row>
    <row r="45" spans="1:14" ht="18" customHeight="1">
      <c r="A45" s="77"/>
      <c r="B45" s="37"/>
      <c r="C45" s="137"/>
      <c r="D45" s="137"/>
      <c r="E45" s="137"/>
      <c r="F45" s="137"/>
      <c r="G45" s="137"/>
      <c r="H45" s="78"/>
    </row>
    <row r="46" spans="1:14" ht="18" customHeight="1">
      <c r="A46" s="77"/>
      <c r="B46" s="37"/>
      <c r="C46" s="37"/>
      <c r="D46" s="37"/>
      <c r="E46" s="37"/>
      <c r="F46" s="37"/>
      <c r="G46" s="37"/>
      <c r="H46" s="78"/>
    </row>
    <row r="47" spans="1:14" ht="18" customHeight="1">
      <c r="A47" s="76"/>
      <c r="B47" s="58"/>
      <c r="C47" s="58"/>
      <c r="D47" s="58"/>
      <c r="E47" s="58"/>
      <c r="F47" s="58"/>
      <c r="G47" s="58"/>
      <c r="H47" s="79"/>
      <c r="I47" s="5"/>
      <c r="J47" s="29"/>
    </row>
    <row r="48" spans="1:14" ht="18" customHeight="1" thickBot="1">
      <c r="A48" s="80" t="s">
        <v>1</v>
      </c>
      <c r="B48" s="81">
        <f t="shared" ref="B48:G48" si="3">SUM(B33:B47)</f>
        <v>0</v>
      </c>
      <c r="C48" s="81">
        <f t="shared" si="3"/>
        <v>1164.6736710618329</v>
      </c>
      <c r="D48" s="81">
        <f t="shared" si="3"/>
        <v>1224.8835127486643</v>
      </c>
      <c r="E48" s="81">
        <f t="shared" si="3"/>
        <v>1264.4585930531166</v>
      </c>
      <c r="F48" s="81">
        <f t="shared" si="3"/>
        <v>1305.1385253883479</v>
      </c>
      <c r="G48" s="81">
        <f t="shared" si="3"/>
        <v>1351.3302785926087</v>
      </c>
      <c r="H48" s="82"/>
    </row>
    <row r="49" spans="1:10" ht="18" customHeight="1" thickTop="1">
      <c r="A49" s="149" t="s">
        <v>189</v>
      </c>
      <c r="B49" s="1">
        <f t="shared" ref="B49:G49" si="4">B16+B48</f>
        <v>-2926.1000000000004</v>
      </c>
      <c r="C49" s="1">
        <f t="shared" si="4"/>
        <v>-2454.9263289381674</v>
      </c>
      <c r="D49" s="1">
        <f t="shared" si="4"/>
        <v>-1455.7164872513356</v>
      </c>
      <c r="E49" s="1">
        <f t="shared" si="4"/>
        <v>-1323.0414069468834</v>
      </c>
      <c r="F49" s="1">
        <f t="shared" si="4"/>
        <v>-1299.8614746116521</v>
      </c>
      <c r="G49" s="1">
        <f t="shared" si="4"/>
        <v>-1264.3697214073911</v>
      </c>
      <c r="H49" s="1"/>
    </row>
    <row r="50" spans="1:10" ht="8.25" customHeight="1">
      <c r="F50" s="6"/>
      <c r="G50" s="6"/>
      <c r="H50" s="1"/>
    </row>
    <row r="51" spans="1:10" ht="15" hidden="1" outlineLevel="1">
      <c r="A51" s="33" t="s">
        <v>118</v>
      </c>
      <c r="B51" s="62">
        <f>cbr_end_fy16_adj</f>
        <v>8647.8000000000011</v>
      </c>
      <c r="C51" s="69">
        <f>B57</f>
        <v>6171.7926000000007</v>
      </c>
      <c r="D51" s="69">
        <f t="shared" ref="D51:G51" si="5">C57</f>
        <v>3961.2023917486763</v>
      </c>
      <c r="E51" s="69">
        <f t="shared" si="5"/>
        <v>2700.3745503780956</v>
      </c>
      <c r="F51" s="69">
        <f t="shared" si="5"/>
        <v>1537.7010196067567</v>
      </c>
      <c r="G51" s="69">
        <f t="shared" si="5"/>
        <v>364.94110615360159</v>
      </c>
      <c r="H51" s="23"/>
      <c r="I51" s="44"/>
    </row>
    <row r="52" spans="1:10" ht="15" hidden="1" outlineLevel="1">
      <c r="A52" s="33" t="s">
        <v>208</v>
      </c>
      <c r="B52" s="62">
        <f>'Common Inputs'!B76</f>
        <v>350</v>
      </c>
      <c r="C52" s="62">
        <f>'Common Inputs'!C76</f>
        <v>100</v>
      </c>
      <c r="D52" s="62">
        <f>'Common Inputs'!D76</f>
        <v>100</v>
      </c>
      <c r="E52" s="62">
        <f>'Common Inputs'!E76</f>
        <v>100</v>
      </c>
      <c r="F52" s="62">
        <f>'Common Inputs'!F76</f>
        <v>100</v>
      </c>
      <c r="G52" s="62">
        <f>'Common Inputs'!G76</f>
        <v>100</v>
      </c>
      <c r="H52" s="23"/>
      <c r="I52" s="44"/>
    </row>
    <row r="53" spans="1:10" ht="15" hidden="1" outlineLevel="1">
      <c r="A53" s="33" t="s">
        <v>194</v>
      </c>
      <c r="B53" s="62">
        <f>(B51+0.5*(B52+B49))*return_cbr_fy17</f>
        <v>100.0926</v>
      </c>
      <c r="C53" s="1">
        <f>MAX(0,(C51+0.5*(C49+C52))*IF(ISBLANK($B$30),return_cbr,$B$30))</f>
        <v>144.33612068684349</v>
      </c>
      <c r="D53" s="1">
        <f>MAX(0,(D51+0.5*(D49+D52))*IF(ISBLANK($B$30),return_cbr,$B$30))</f>
        <v>94.888645880754936</v>
      </c>
      <c r="E53" s="1">
        <f>MAX(0,(E51+0.5*(E49+E52))*IF(ISBLANK($B$30),return_cbr,$B$30))</f>
        <v>60.367876175544495</v>
      </c>
      <c r="F53" s="1">
        <f>MAX(0,(F51+0.5*(F49+F52))*IF(ISBLANK($B$30),return_cbr,$B$30))</f>
        <v>27.101561158496896</v>
      </c>
      <c r="G53" s="1">
        <f>MAX(0,(G51+0.5*(G49+G52))*IF(ISBLANK($B$30),return_cbr,$B$30))</f>
        <v>0</v>
      </c>
      <c r="H53" s="23"/>
      <c r="I53" s="44"/>
    </row>
    <row r="54" spans="1:10" ht="18" customHeight="1" collapsed="1">
      <c r="A54" s="149" t="s">
        <v>44</v>
      </c>
      <c r="B54" s="1">
        <f t="shared" ref="B54:G54" si="6">MIN(-B49,SUM(B51:B53))</f>
        <v>2926.1000000000004</v>
      </c>
      <c r="C54" s="1">
        <f t="shared" si="6"/>
        <v>2454.9263289381674</v>
      </c>
      <c r="D54" s="1">
        <f t="shared" si="6"/>
        <v>1455.7164872513356</v>
      </c>
      <c r="E54" s="1">
        <f t="shared" si="6"/>
        <v>1323.0414069468834</v>
      </c>
      <c r="F54" s="1">
        <f t="shared" si="6"/>
        <v>1299.8614746116521</v>
      </c>
      <c r="G54" s="1">
        <f t="shared" si="6"/>
        <v>464.94110615360159</v>
      </c>
      <c r="H54" s="1"/>
    </row>
    <row r="55" spans="1:10" ht="18" customHeight="1">
      <c r="A55" s="149" t="s">
        <v>45</v>
      </c>
      <c r="B55" s="7">
        <f t="shared" ref="B55:G55" si="7">-B49-B54</f>
        <v>0</v>
      </c>
      <c r="C55" s="7">
        <f t="shared" si="7"/>
        <v>0</v>
      </c>
      <c r="D55" s="7">
        <f t="shared" si="7"/>
        <v>0</v>
      </c>
      <c r="E55" s="7">
        <f t="shared" si="7"/>
        <v>0</v>
      </c>
      <c r="F55" s="7">
        <f t="shared" si="7"/>
        <v>0</v>
      </c>
      <c r="G55" s="7">
        <f t="shared" si="7"/>
        <v>799.42861525378953</v>
      </c>
      <c r="H55" s="7"/>
    </row>
    <row r="56" spans="1:10" ht="6" customHeight="1">
      <c r="B56" s="7"/>
      <c r="C56" s="7"/>
      <c r="D56" s="7"/>
      <c r="E56" s="7"/>
      <c r="F56" s="7"/>
      <c r="G56" s="7"/>
      <c r="H56" s="7"/>
    </row>
    <row r="57" spans="1:10" ht="18" customHeight="1">
      <c r="A57" s="71" t="s">
        <v>97</v>
      </c>
      <c r="B57" s="72">
        <f t="shared" ref="B57:G57" si="8">SUM(B51:B53)-B54</f>
        <v>6171.7926000000007</v>
      </c>
      <c r="C57" s="72">
        <f t="shared" si="8"/>
        <v>3961.2023917486763</v>
      </c>
      <c r="D57" s="72">
        <f t="shared" si="8"/>
        <v>2700.3745503780956</v>
      </c>
      <c r="E57" s="72">
        <f t="shared" si="8"/>
        <v>1537.7010196067567</v>
      </c>
      <c r="F57" s="72">
        <f t="shared" si="8"/>
        <v>364.94110615360159</v>
      </c>
      <c r="G57" s="72">
        <f t="shared" si="8"/>
        <v>0</v>
      </c>
      <c r="H57" s="29"/>
    </row>
    <row r="58" spans="1:10" ht="18" customHeight="1">
      <c r="A58" s="71" t="s">
        <v>98</v>
      </c>
      <c r="B58" s="72">
        <f>'HB61'!B90</f>
        <v>6171.7926000000007</v>
      </c>
      <c r="C58" s="72">
        <f>'HB61'!C90</f>
        <v>2779.6991861400002</v>
      </c>
      <c r="D58" s="72">
        <f>'HB61'!D90</f>
        <v>242.14282261944618</v>
      </c>
      <c r="E58" s="72">
        <f>'HB61'!E90</f>
        <v>0</v>
      </c>
      <c r="F58" s="72">
        <f>'HB61'!F90</f>
        <v>0</v>
      </c>
      <c r="G58" s="72">
        <f>'HB61'!G90</f>
        <v>0</v>
      </c>
      <c r="H58" s="29"/>
    </row>
    <row r="59" spans="1:10" ht="15">
      <c r="A59" s="33"/>
      <c r="B59" s="29"/>
      <c r="C59" s="23"/>
      <c r="D59" s="23"/>
      <c r="E59" s="23"/>
      <c r="F59" s="23"/>
      <c r="G59" s="23"/>
      <c r="H59" s="23"/>
    </row>
    <row r="60" spans="1:10" ht="18" customHeight="1">
      <c r="A60" s="71" t="s">
        <v>30</v>
      </c>
      <c r="B60" s="72">
        <f>'PF Model'!G164</f>
        <v>56484.371347073997</v>
      </c>
      <c r="C60" s="72">
        <f>'PF Model'!H164</f>
        <v>58232.964819295841</v>
      </c>
      <c r="D60" s="72">
        <f>'PF Model'!I164</f>
        <v>60008.462289878291</v>
      </c>
      <c r="E60" s="72">
        <f>'PF Model'!J164</f>
        <v>61839.984963384741</v>
      </c>
      <c r="F60" s="72">
        <f>'PF Model'!K164</f>
        <v>63729.834045391275</v>
      </c>
      <c r="G60" s="72">
        <f>'PF Model'!L164</f>
        <v>64859.552981209643</v>
      </c>
      <c r="H60" s="29"/>
      <c r="I60" s="113">
        <f>(G60/D60)^(1/3)-1</f>
        <v>2.6251530141101043E-2</v>
      </c>
      <c r="J60" s="149" t="s">
        <v>439</v>
      </c>
    </row>
    <row r="61" spans="1:10" ht="18" customHeight="1">
      <c r="A61" s="71" t="s">
        <v>28</v>
      </c>
      <c r="B61" s="72">
        <f>'PF Model'!G28</f>
        <v>56484.371347073997</v>
      </c>
      <c r="C61" s="72">
        <f>'PF Model'!H28</f>
        <v>59057.187646130886</v>
      </c>
      <c r="D61" s="72">
        <f>'PF Model'!I28</f>
        <v>61786.298702676024</v>
      </c>
      <c r="E61" s="72">
        <f>'PF Model'!J28</f>
        <v>62469.954502832501</v>
      </c>
      <c r="F61" s="72">
        <f>'PF Model'!K28</f>
        <v>62869.258320105262</v>
      </c>
      <c r="G61" s="72">
        <f>'PF Model'!L28</f>
        <v>63122.681706917727</v>
      </c>
      <c r="H61" s="29"/>
    </row>
    <row r="62" spans="1:10" ht="8.25" customHeight="1">
      <c r="D62" s="1"/>
      <c r="E62" s="1"/>
      <c r="F62" s="1"/>
      <c r="G62" s="1"/>
      <c r="H62" s="1"/>
    </row>
    <row r="63" spans="1:10" ht="18" customHeight="1">
      <c r="A63" s="71" t="s">
        <v>31</v>
      </c>
      <c r="B63" s="72">
        <f>'PF Model'!G183</f>
        <v>11670.469051503305</v>
      </c>
      <c r="C63" s="72">
        <f>'PF Model'!H183</f>
        <v>12914.991577706043</v>
      </c>
      <c r="D63" s="72">
        <f>'PF Model'!I183</f>
        <v>14152.529182522945</v>
      </c>
      <c r="E63" s="72">
        <f>'PF Model'!J183</f>
        <v>15430.470371909407</v>
      </c>
      <c r="F63" s="72">
        <f>'PF Model'!K183</f>
        <v>16750.964010612872</v>
      </c>
      <c r="G63" s="72">
        <f>'PF Model'!L183</f>
        <v>17218.082487372314</v>
      </c>
      <c r="H63" s="29"/>
      <c r="I63" s="113">
        <f>(G63/D63)^(1/3)-1</f>
        <v>6.7538570074868742E-2</v>
      </c>
      <c r="J63" s="149" t="s">
        <v>440</v>
      </c>
    </row>
    <row r="64" spans="1:10" ht="18" customHeight="1">
      <c r="A64" s="71" t="s">
        <v>29</v>
      </c>
      <c r="B64" s="72">
        <f>'PF Model'!G45</f>
        <v>11670.469051503305</v>
      </c>
      <c r="C64" s="72">
        <f>'PF Model'!H45</f>
        <v>12805.67558057932</v>
      </c>
      <c r="D64" s="72">
        <f>'PF Model'!I45</f>
        <v>14036.041598276737</v>
      </c>
      <c r="E64" s="72">
        <f>'PF Model'!J45</f>
        <v>12940.780384446334</v>
      </c>
      <c r="F64" s="72">
        <f>'PF Model'!K45</f>
        <v>11455.729270845331</v>
      </c>
      <c r="G64" s="72">
        <f>'PF Model'!L45</f>
        <v>9740.3733945314652</v>
      </c>
      <c r="H64" s="29"/>
    </row>
    <row r="65" spans="1:9" ht="9" customHeight="1"/>
    <row r="66" spans="1:9" ht="18" customHeight="1">
      <c r="C66" s="30">
        <v>43009</v>
      </c>
      <c r="D66" s="30">
        <v>43374</v>
      </c>
      <c r="E66" s="30">
        <v>43739</v>
      </c>
      <c r="F66" s="30">
        <v>44105</v>
      </c>
      <c r="G66" s="30">
        <v>44470</v>
      </c>
      <c r="H66" s="59"/>
    </row>
    <row r="67" spans="1:9" ht="18" customHeight="1">
      <c r="A67" s="71" t="s">
        <v>604</v>
      </c>
      <c r="B67" s="72"/>
      <c r="C67" s="72">
        <f>C75</f>
        <v>1724.387577486063</v>
      </c>
      <c r="D67" s="72">
        <f t="shared" ref="D67:G67" si="9">D75</f>
        <v>1799.8101306857718</v>
      </c>
      <c r="E67" s="72">
        <f t="shared" si="9"/>
        <v>1843.052501502458</v>
      </c>
      <c r="F67" s="72">
        <f t="shared" si="9"/>
        <v>1887.0346850170724</v>
      </c>
      <c r="G67" s="72">
        <f t="shared" si="9"/>
        <v>1938.1759149138968</v>
      </c>
      <c r="H67" s="29"/>
    </row>
    <row r="68" spans="1:9" ht="18" customHeight="1">
      <c r="A68" s="71" t="s">
        <v>34</v>
      </c>
      <c r="B68" s="72"/>
      <c r="C68" s="72">
        <f>'HB61'!C108</f>
        <v>2240.4135886896033</v>
      </c>
      <c r="D68" s="72">
        <f>'HB61'!D108</f>
        <v>2293.4589332172404</v>
      </c>
      <c r="E68" s="72">
        <f>'HB61'!E108</f>
        <v>2275.760482349207</v>
      </c>
      <c r="F68" s="72">
        <f>'HB61'!F108</f>
        <v>2380.838917196153</v>
      </c>
      <c r="G68" s="72">
        <f>'HB61'!G108</f>
        <v>2599.0175137051265</v>
      </c>
      <c r="H68" s="29"/>
    </row>
    <row r="69" spans="1:9" ht="18" customHeight="1">
      <c r="A69" s="22"/>
      <c r="B69" s="37"/>
      <c r="C69" s="38"/>
      <c r="D69" s="38"/>
      <c r="E69" s="38"/>
      <c r="F69" s="38"/>
      <c r="G69" s="38"/>
      <c r="H69" s="38"/>
    </row>
    <row r="70" spans="1:9" ht="18" hidden="1" customHeight="1" outlineLevel="1">
      <c r="A70" s="149" t="s">
        <v>19</v>
      </c>
      <c r="B70" s="13">
        <f>init_pfd_recips</f>
        <v>654000</v>
      </c>
      <c r="C70" s="13">
        <f>B70*(1+div_growth)</f>
        <v>659755.19999999995</v>
      </c>
      <c r="D70" s="13">
        <f>C70*(1+div_growth)</f>
        <v>665561.04575999989</v>
      </c>
      <c r="E70" s="13">
        <f>D70*(1+div_growth)</f>
        <v>671417.98296268785</v>
      </c>
      <c r="F70" s="13">
        <f>E70*(1+div_growth)</f>
        <v>677326.46121275949</v>
      </c>
      <c r="G70" s="13">
        <f>F70*(1+div_growth)</f>
        <v>683286.93407143175</v>
      </c>
      <c r="H70" s="13"/>
      <c r="I70" s="44"/>
    </row>
    <row r="71" spans="1:9" ht="15" hidden="1" outlineLevel="1">
      <c r="A71" s="12"/>
      <c r="C71" s="136"/>
      <c r="D71" s="20"/>
      <c r="E71" s="20"/>
      <c r="F71" s="20"/>
      <c r="G71" s="20"/>
      <c r="H71" s="20"/>
      <c r="I71" s="44"/>
    </row>
    <row r="72" spans="1:9" ht="18" hidden="1" customHeight="1" outlineLevel="1">
      <c r="A72" s="5" t="s">
        <v>482</v>
      </c>
      <c r="B72" s="5"/>
      <c r="C72" s="34">
        <f>-'PF Model'!H160</f>
        <v>1164.6736710618329</v>
      </c>
      <c r="D72" s="34">
        <f>-'PF Model'!I160</f>
        <v>1224.8835127486643</v>
      </c>
      <c r="E72" s="34">
        <f>-'PF Model'!J160</f>
        <v>1264.4585930531166</v>
      </c>
      <c r="F72" s="34">
        <f>-'PF Model'!K160</f>
        <v>1305.1385253883479</v>
      </c>
      <c r="G72" s="34">
        <f>-'PF Model'!L160</f>
        <v>1351.3302785926087</v>
      </c>
      <c r="H72" s="13"/>
      <c r="I72" s="44"/>
    </row>
    <row r="73" spans="1:9" ht="18" hidden="1" customHeight="1" outlineLevel="1">
      <c r="A73" s="10" t="s">
        <v>36</v>
      </c>
      <c r="B73" s="50">
        <f>div_expenses</f>
        <v>27</v>
      </c>
      <c r="I73" s="44"/>
    </row>
    <row r="74" spans="1:9" ht="18" hidden="1" customHeight="1" outlineLevel="1">
      <c r="A74" s="149" t="s">
        <v>230</v>
      </c>
      <c r="C74" s="15">
        <f>C72-div_expenses</f>
        <v>1137.6736710618329</v>
      </c>
      <c r="D74" s="15">
        <f>D72-div_expenses</f>
        <v>1197.8835127486643</v>
      </c>
      <c r="E74" s="15">
        <f>E72-div_expenses</f>
        <v>1237.4585930531166</v>
      </c>
      <c r="F74" s="15">
        <f>F72-div_expenses</f>
        <v>1278.1385253883479</v>
      </c>
      <c r="G74" s="15">
        <f>G72-div_expenses</f>
        <v>1324.3302785926087</v>
      </c>
      <c r="H74" s="15"/>
      <c r="I74" s="44"/>
    </row>
    <row r="75" spans="1:9" ht="18" hidden="1" customHeight="1" outlineLevel="1">
      <c r="A75" s="149" t="s">
        <v>37</v>
      </c>
      <c r="C75" s="38">
        <f>C74*1000000/C70</f>
        <v>1724.387577486063</v>
      </c>
      <c r="D75" s="38">
        <f t="shared" ref="D75:G75" si="10">D74*1000000/D70</f>
        <v>1799.8101306857718</v>
      </c>
      <c r="E75" s="38">
        <f t="shared" si="10"/>
        <v>1843.052501502458</v>
      </c>
      <c r="F75" s="38">
        <f t="shared" si="10"/>
        <v>1887.0346850170724</v>
      </c>
      <c r="G75" s="38">
        <f t="shared" si="10"/>
        <v>1938.1759149138968</v>
      </c>
      <c r="H75" s="38"/>
      <c r="I75" s="44"/>
    </row>
    <row r="76" spans="1:9" ht="18" customHeight="1" collapsed="1"/>
  </sheetData>
  <pageMargins left="0.7" right="0.56000000000000005" top="0.5" bottom="0.42" header="0.19" footer="0.13"/>
  <pageSetup scale="68" orientation="portrait" horizontalDpi="4294967293" verticalDpi="4294967293" r:id="rId1"/>
  <headerFooter>
    <oddHeader>&amp;L&amp;A Sheet&amp;C&amp;"-,Bold"&amp;16Alaska Economy Choices&amp;RPage &amp;P of &amp;N</oddHeader>
    <oddFooter>&amp;L&amp;Z&amp;F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42" r:id="rId4" name="Check Box 2">
              <controlPr defaultSize="0" autoFill="0" autoLine="0" autoPict="0" altText=" Eliminate Inflation Proofing (not in bill)">
                <anchor moveWithCells="1">
                  <from>
                    <xdr:col>0</xdr:col>
                    <xdr:colOff>276225</xdr:colOff>
                    <xdr:row>18</xdr:row>
                    <xdr:rowOff>38100</xdr:rowOff>
                  </from>
                  <to>
                    <xdr:col>0</xdr:col>
                    <xdr:colOff>2714625</xdr:colOff>
                    <xdr:row>18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tabColor rgb="FF00B050"/>
  </sheetPr>
  <dimension ref="A1:O85"/>
  <sheetViews>
    <sheetView showGridLines="0" zoomScaleNormal="100" workbookViewId="0"/>
  </sheetViews>
  <sheetFormatPr defaultColWidth="9.140625" defaultRowHeight="15"/>
  <cols>
    <col min="1" max="1" width="17.42578125" style="149" customWidth="1"/>
    <col min="2" max="2" width="9.5703125" style="149" bestFit="1" customWidth="1"/>
    <col min="3" max="3" width="9.140625" style="149"/>
    <col min="4" max="4" width="10" style="149" customWidth="1"/>
    <col min="5" max="5" width="9.140625" style="149"/>
    <col min="6" max="6" width="12.28515625" style="149" customWidth="1"/>
    <col min="7" max="7" width="14.85546875" style="149" customWidth="1"/>
    <col min="8" max="8" width="14.42578125" style="149" customWidth="1"/>
    <col min="9" max="9" width="11.140625" style="149" bestFit="1" customWidth="1"/>
    <col min="10" max="10" width="9.140625" style="149"/>
    <col min="11" max="11" width="9.5703125" style="149" bestFit="1" customWidth="1"/>
    <col min="12" max="12" width="9.140625" style="149"/>
    <col min="13" max="13" width="12.7109375" style="149" customWidth="1"/>
    <col min="14" max="16384" width="9.140625" style="149"/>
  </cols>
  <sheetData>
    <row r="1" spans="1:15" ht="26.25">
      <c r="A1" s="316" t="s">
        <v>417</v>
      </c>
    </row>
    <row r="2" spans="1:15" ht="21" customHeight="1">
      <c r="A2" s="27" t="s">
        <v>468</v>
      </c>
    </row>
    <row r="3" spans="1:15" ht="19.899999999999999" customHeight="1">
      <c r="A3" s="26"/>
      <c r="M3" s="305" t="s">
        <v>541</v>
      </c>
      <c r="N3" s="306"/>
      <c r="O3" s="307"/>
    </row>
    <row r="4" spans="1:15" ht="33">
      <c r="A4" s="24" t="s">
        <v>393</v>
      </c>
      <c r="G4" s="24" t="s">
        <v>392</v>
      </c>
      <c r="M4" s="308" t="s">
        <v>535</v>
      </c>
      <c r="N4" s="309" t="s">
        <v>536</v>
      </c>
      <c r="O4" s="310" t="s">
        <v>537</v>
      </c>
    </row>
    <row r="5" spans="1:15" ht="31.5">
      <c r="A5" s="193">
        <v>1300</v>
      </c>
      <c r="B5" s="190" t="s">
        <v>391</v>
      </c>
      <c r="H5" s="194">
        <f>G6/10000</f>
        <v>2.2499999999999999E-2</v>
      </c>
      <c r="I5" s="190" t="s">
        <v>369</v>
      </c>
      <c r="M5" s="311" t="s">
        <v>749</v>
      </c>
      <c r="N5" s="312">
        <v>1250</v>
      </c>
      <c r="O5" s="341">
        <v>2.6499999999999999E-2</v>
      </c>
    </row>
    <row r="6" spans="1:15" ht="15.75">
      <c r="G6" s="149">
        <v>225</v>
      </c>
      <c r="M6" s="311" t="s">
        <v>750</v>
      </c>
      <c r="N6" s="312">
        <v>1000</v>
      </c>
      <c r="O6" s="341">
        <v>2.6499999999999999E-2</v>
      </c>
    </row>
    <row r="7" spans="1:15" ht="15.75">
      <c r="M7" s="311" t="s">
        <v>539</v>
      </c>
      <c r="N7" s="312">
        <v>1720</v>
      </c>
      <c r="O7" s="341">
        <v>3.1E-2</v>
      </c>
    </row>
    <row r="8" spans="1:15" ht="15.6" customHeight="1">
      <c r="G8" s="40" t="s">
        <v>431</v>
      </c>
      <c r="I8" s="195" t="str">
        <f>IF(C72&lt;0,"Earnings Reserve is Declining!!","")</f>
        <v/>
      </c>
      <c r="M8" s="311" t="s">
        <v>703</v>
      </c>
      <c r="N8" s="312">
        <v>2240</v>
      </c>
      <c r="O8" s="341">
        <v>1.9E-2</v>
      </c>
    </row>
    <row r="9" spans="1:15" ht="28.5">
      <c r="A9" s="224">
        <f>F58</f>
        <v>1.9225625000000011</v>
      </c>
      <c r="B9" s="225" t="s">
        <v>542</v>
      </c>
      <c r="G9" s="25" t="s">
        <v>432</v>
      </c>
      <c r="M9" s="313" t="s">
        <v>41</v>
      </c>
      <c r="N9" s="314">
        <v>2240</v>
      </c>
      <c r="O9" s="342">
        <v>4.5499999999999999E-2</v>
      </c>
    </row>
    <row r="10" spans="1:15" ht="15.75">
      <c r="G10" s="25" t="s">
        <v>429</v>
      </c>
    </row>
    <row r="11" spans="1:15" ht="15.75">
      <c r="G11" s="25" t="s">
        <v>430</v>
      </c>
    </row>
    <row r="28" spans="8:8">
      <c r="H28" s="149" t="b">
        <v>0</v>
      </c>
    </row>
    <row r="32" spans="8:8" s="31" customFormat="1"/>
    <row r="33" spans="1:6" ht="18.75">
      <c r="A33" s="18" t="s">
        <v>395</v>
      </c>
    </row>
    <row r="34" spans="1:6">
      <c r="A34" s="149" t="s">
        <v>394</v>
      </c>
    </row>
    <row r="36" spans="1:6">
      <c r="A36" s="26" t="s">
        <v>409</v>
      </c>
    </row>
    <row r="37" spans="1:6">
      <c r="A37" s="149" t="s">
        <v>396</v>
      </c>
      <c r="D37" s="121">
        <f>54951+1501</f>
        <v>56452</v>
      </c>
      <c r="E37" s="149" t="s">
        <v>71</v>
      </c>
      <c r="F37" s="149" t="s">
        <v>572</v>
      </c>
    </row>
    <row r="38" spans="1:6">
      <c r="A38" s="149" t="s">
        <v>397</v>
      </c>
      <c r="D38" s="121">
        <v>299</v>
      </c>
      <c r="E38" s="149" t="s">
        <v>71</v>
      </c>
    </row>
    <row r="39" spans="1:6">
      <c r="A39" s="149" t="s">
        <v>398</v>
      </c>
      <c r="D39" s="121">
        <v>52.7</v>
      </c>
      <c r="E39" s="149" t="s">
        <v>71</v>
      </c>
    </row>
    <row r="40" spans="1:6">
      <c r="A40" s="149" t="s">
        <v>435</v>
      </c>
      <c r="D40" s="199">
        <v>6.9500000000000006E-2</v>
      </c>
      <c r="E40" s="149" t="s">
        <v>369</v>
      </c>
    </row>
    <row r="41" spans="1:6">
      <c r="A41" s="149" t="s">
        <v>437</v>
      </c>
      <c r="D41" s="121">
        <v>119</v>
      </c>
      <c r="E41" s="149" t="s">
        <v>436</v>
      </c>
    </row>
    <row r="42" spans="1:6">
      <c r="A42" s="149" t="s">
        <v>399</v>
      </c>
      <c r="D42" s="121">
        <v>26</v>
      </c>
      <c r="E42" s="149" t="s">
        <v>71</v>
      </c>
    </row>
    <row r="43" spans="1:6">
      <c r="D43" s="121"/>
    </row>
    <row r="44" spans="1:6">
      <c r="A44" s="26" t="s">
        <v>410</v>
      </c>
      <c r="D44" s="121"/>
    </row>
    <row r="45" spans="1:6">
      <c r="A45" s="149" t="s">
        <v>400</v>
      </c>
      <c r="D45" s="138">
        <v>659755</v>
      </c>
      <c r="E45" s="149" t="s">
        <v>401</v>
      </c>
    </row>
    <row r="46" spans="1:6">
      <c r="A46" s="149" t="s">
        <v>402</v>
      </c>
      <c r="D46" s="121">
        <v>27</v>
      </c>
      <c r="E46" s="149" t="s">
        <v>71</v>
      </c>
    </row>
    <row r="48" spans="1:6">
      <c r="A48" s="26" t="s">
        <v>411</v>
      </c>
    </row>
    <row r="49" spans="1:6">
      <c r="A49" s="149" t="s">
        <v>412</v>
      </c>
      <c r="E49" s="121">
        <v>2900</v>
      </c>
      <c r="F49" s="149" t="s">
        <v>438</v>
      </c>
    </row>
    <row r="50" spans="1:6">
      <c r="A50" s="149" t="s">
        <v>505</v>
      </c>
      <c r="E50" s="121">
        <v>251</v>
      </c>
      <c r="F50" s="149" t="s">
        <v>418</v>
      </c>
    </row>
    <row r="52" spans="1:6">
      <c r="A52" s="26" t="s">
        <v>433</v>
      </c>
    </row>
    <row r="53" spans="1:6">
      <c r="A53" s="149" t="s">
        <v>403</v>
      </c>
      <c r="F53" s="196">
        <f>D38/1000</f>
        <v>0.29899999999999999</v>
      </c>
    </row>
    <row r="54" spans="1:6">
      <c r="A54" s="149" t="s">
        <v>404</v>
      </c>
      <c r="F54" s="196">
        <f>(D37*D40-D41)/1000</f>
        <v>3.8044140000000004</v>
      </c>
    </row>
    <row r="55" spans="1:6">
      <c r="A55" s="149" t="s">
        <v>405</v>
      </c>
      <c r="F55" s="196">
        <f>-D42/1000</f>
        <v>-2.5999999999999999E-2</v>
      </c>
    </row>
    <row r="56" spans="1:6">
      <c r="A56" s="149" t="s">
        <v>406</v>
      </c>
      <c r="F56" s="196">
        <f>-H5*D37/1000</f>
        <v>-1.2701699999999998</v>
      </c>
    </row>
    <row r="57" spans="1:6">
      <c r="A57" s="31" t="s">
        <v>407</v>
      </c>
      <c r="B57" s="31"/>
      <c r="C57" s="31"/>
      <c r="D57" s="31"/>
      <c r="E57" s="31"/>
      <c r="F57" s="197">
        <f>-(D45*A5/1000000+D46)/1000</f>
        <v>-0.88468150000000001</v>
      </c>
    </row>
    <row r="58" spans="1:6">
      <c r="A58" s="149" t="s">
        <v>408</v>
      </c>
      <c r="F58" s="198">
        <f>SUM(F53:F57)</f>
        <v>1.9225625000000011</v>
      </c>
    </row>
    <row r="60" spans="1:6">
      <c r="A60" s="26" t="s">
        <v>434</v>
      </c>
    </row>
    <row r="61" spans="1:6" ht="60">
      <c r="C61" s="14" t="s">
        <v>415</v>
      </c>
      <c r="D61" s="14" t="s">
        <v>416</v>
      </c>
      <c r="E61" s="14" t="s">
        <v>413</v>
      </c>
    </row>
    <row r="62" spans="1:6">
      <c r="B62" s="36" t="s">
        <v>670</v>
      </c>
      <c r="C62" s="196">
        <f>F58</f>
        <v>1.9225625000000011</v>
      </c>
      <c r="D62" s="196">
        <f>IF(H28, E50/1000,0)</f>
        <v>0</v>
      </c>
      <c r="E62" s="196">
        <f>(E49/1000-C62-D62)</f>
        <v>0.97743749999999885</v>
      </c>
    </row>
    <row r="64" spans="1:6">
      <c r="A64" s="26" t="s">
        <v>419</v>
      </c>
    </row>
    <row r="65" spans="1:5">
      <c r="A65" s="149" t="s">
        <v>420</v>
      </c>
      <c r="C65" s="122">
        <v>6.2399999999999997E-2</v>
      </c>
      <c r="D65" s="149" t="s">
        <v>369</v>
      </c>
      <c r="E65" s="149" t="s">
        <v>428</v>
      </c>
    </row>
    <row r="66" spans="1:5">
      <c r="A66" s="149" t="s">
        <v>421</v>
      </c>
      <c r="C66" s="121">
        <v>145</v>
      </c>
      <c r="D66" s="149" t="s">
        <v>71</v>
      </c>
    </row>
    <row r="68" spans="1:5">
      <c r="A68" s="149" t="s">
        <v>422</v>
      </c>
      <c r="C68" s="191">
        <f>(D37+D38/2)*C65-C66</f>
        <v>3386.9335999999998</v>
      </c>
    </row>
    <row r="69" spans="1:5">
      <c r="A69" s="149" t="s">
        <v>423</v>
      </c>
      <c r="C69" s="191">
        <f>D39</f>
        <v>52.7</v>
      </c>
      <c r="D69" s="149" t="s">
        <v>424</v>
      </c>
    </row>
    <row r="70" spans="1:5">
      <c r="A70" s="149" t="s">
        <v>425</v>
      </c>
      <c r="C70" s="191">
        <f>F57*1000</f>
        <v>-884.68150000000003</v>
      </c>
    </row>
    <row r="71" spans="1:5">
      <c r="A71" s="31" t="s">
        <v>426</v>
      </c>
      <c r="B71" s="31"/>
      <c r="C71" s="192">
        <f>-F58*1000</f>
        <v>-1922.5625000000011</v>
      </c>
    </row>
    <row r="72" spans="1:5">
      <c r="A72" s="149" t="s">
        <v>427</v>
      </c>
      <c r="C72" s="191">
        <f>SUM(C68:C71)</f>
        <v>632.38959999999838</v>
      </c>
    </row>
    <row r="75" spans="1:5">
      <c r="A75" s="26" t="s">
        <v>656</v>
      </c>
    </row>
    <row r="77" spans="1:5">
      <c r="A77" s="149" t="s">
        <v>657</v>
      </c>
      <c r="D77" s="13">
        <f>SUM(F53:F55)*1000</f>
        <v>4077.4140000000011</v>
      </c>
      <c r="E77" s="149" t="s">
        <v>71</v>
      </c>
    </row>
    <row r="79" spans="1:5" ht="45">
      <c r="A79" s="14" t="s">
        <v>658</v>
      </c>
      <c r="B79" s="14" t="s">
        <v>659</v>
      </c>
      <c r="C79" s="14" t="s">
        <v>660</v>
      </c>
      <c r="D79" s="64" t="s">
        <v>661</v>
      </c>
    </row>
    <row r="80" spans="1:5">
      <c r="A80" s="149" t="s">
        <v>556</v>
      </c>
      <c r="B80" s="13">
        <v>2285</v>
      </c>
      <c r="C80" s="15">
        <f>$D$77-B80</f>
        <v>1792.4140000000011</v>
      </c>
      <c r="D80" s="113">
        <f>C80/$D$37</f>
        <v>3.1751115992347499E-2</v>
      </c>
    </row>
    <row r="81" spans="1:4">
      <c r="A81" s="149" t="s">
        <v>655</v>
      </c>
      <c r="B81" s="13">
        <v>2579</v>
      </c>
      <c r="C81" s="15">
        <f t="shared" ref="C81:C84" si="0">$D$77-B81</f>
        <v>1498.4140000000011</v>
      </c>
      <c r="D81" s="113">
        <f t="shared" ref="D81:D84" si="1">C81/$D$37</f>
        <v>2.6543151704102621E-2</v>
      </c>
    </row>
    <row r="82" spans="1:4">
      <c r="A82" s="149" t="s">
        <v>538</v>
      </c>
      <c r="B82" s="13">
        <v>2579</v>
      </c>
      <c r="C82" s="15">
        <f t="shared" si="0"/>
        <v>1498.4140000000011</v>
      </c>
      <c r="D82" s="113">
        <f t="shared" si="1"/>
        <v>2.6543151704102621E-2</v>
      </c>
    </row>
    <row r="83" spans="1:4">
      <c r="A83" s="149" t="s">
        <v>539</v>
      </c>
      <c r="B83" s="13">
        <f>1165*2</f>
        <v>2330</v>
      </c>
      <c r="C83" s="15">
        <f t="shared" si="0"/>
        <v>1747.4140000000011</v>
      </c>
      <c r="D83" s="113">
        <f t="shared" si="1"/>
        <v>3.0953978601289612E-2</v>
      </c>
    </row>
    <row r="84" spans="1:4">
      <c r="A84" s="149" t="s">
        <v>540</v>
      </c>
      <c r="B84" s="13">
        <f>1505*2</f>
        <v>3010</v>
      </c>
      <c r="C84" s="15">
        <f t="shared" si="0"/>
        <v>1067.4140000000011</v>
      </c>
      <c r="D84" s="113">
        <f t="shared" si="1"/>
        <v>1.890834691419261E-2</v>
      </c>
    </row>
    <row r="85" spans="1:4">
      <c r="A85" s="149" t="s">
        <v>41</v>
      </c>
      <c r="B85" s="13">
        <v>1505</v>
      </c>
      <c r="C85" s="15">
        <f t="shared" ref="C85" si="2">$D$77-B85</f>
        <v>2572.4140000000011</v>
      </c>
      <c r="D85" s="113">
        <f t="shared" ref="D85" si="3">C85/$D$37</f>
        <v>4.5568164104017594E-2</v>
      </c>
    </row>
  </sheetData>
  <pageMargins left="0.7" right="0.7" top="0.75" bottom="0.75" header="0.3" footer="0.3"/>
  <pageSetup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4385" r:id="rId4" name="Scroll Bar 1">
              <controlPr defaultSize="0" autoPict="0">
                <anchor moveWithCells="1">
                  <from>
                    <xdr:col>0</xdr:col>
                    <xdr:colOff>0</xdr:colOff>
                    <xdr:row>5</xdr:row>
                    <xdr:rowOff>9525</xdr:rowOff>
                  </from>
                  <to>
                    <xdr:col>4</xdr:col>
                    <xdr:colOff>209550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86" r:id="rId5" name="Scroll Bar 2">
              <controlPr defaultSize="0" autoPict="0">
                <anchor moveWithCells="1">
                  <from>
                    <xdr:col>6</xdr:col>
                    <xdr:colOff>9525</xdr:colOff>
                    <xdr:row>4</xdr:row>
                    <xdr:rowOff>361950</xdr:rowOff>
                  </from>
                  <to>
                    <xdr:col>10</xdr:col>
                    <xdr:colOff>180975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87" r:id="rId6" name="Check Box 3">
              <controlPr defaultSize="0" autoFill="0" autoLine="0" autoPict="0">
                <anchor moveWithCells="1">
                  <from>
                    <xdr:col>6</xdr:col>
                    <xdr:colOff>676275</xdr:colOff>
                    <xdr:row>26</xdr:row>
                    <xdr:rowOff>57150</xdr:rowOff>
                  </from>
                  <to>
                    <xdr:col>9</xdr:col>
                    <xdr:colOff>19050</xdr:colOff>
                    <xdr:row>27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43"/>
  <sheetViews>
    <sheetView showGridLines="0" topLeftCell="A10" zoomScaleNormal="100" workbookViewId="0">
      <selection activeCell="I10" sqref="I10"/>
    </sheetView>
  </sheetViews>
  <sheetFormatPr defaultColWidth="9.140625" defaultRowHeight="15"/>
  <cols>
    <col min="1" max="19" width="9.140625" style="149"/>
    <col min="20" max="20" width="10.5703125" style="149" customWidth="1"/>
    <col min="21" max="16384" width="9.140625" style="149"/>
  </cols>
  <sheetData>
    <row r="1" spans="1:17" ht="12.75" hidden="1" customHeight="1">
      <c r="A1" s="390"/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</row>
    <row r="2" spans="1:17" ht="20.25" hidden="1" customHeight="1">
      <c r="A2" s="55"/>
    </row>
    <row r="3" spans="1:17" ht="15.75" hidden="1">
      <c r="A3" s="40"/>
    </row>
    <row r="4" spans="1:17">
      <c r="A4" s="12" t="s">
        <v>150</v>
      </c>
    </row>
    <row r="5" spans="1:17" ht="20.25" customHeight="1">
      <c r="F5" s="36"/>
      <c r="G5" s="42" t="s">
        <v>0</v>
      </c>
      <c r="H5" s="43" t="s">
        <v>12</v>
      </c>
      <c r="I5" s="42" t="s">
        <v>13</v>
      </c>
      <c r="J5" s="43" t="s">
        <v>14</v>
      </c>
      <c r="K5" s="42" t="s">
        <v>15</v>
      </c>
      <c r="L5" s="43" t="s">
        <v>301</v>
      </c>
    </row>
    <row r="6" spans="1:17">
      <c r="F6" s="36" t="s">
        <v>101</v>
      </c>
      <c r="G6" s="83">
        <f>'SB 21'!B5</f>
        <v>46.81</v>
      </c>
      <c r="H6" s="83">
        <f>'SB 21'!C5</f>
        <v>54</v>
      </c>
      <c r="I6" s="83">
        <f>'SB 21'!D5</f>
        <v>60</v>
      </c>
      <c r="J6" s="83">
        <f>'SB 21'!E5</f>
        <v>63</v>
      </c>
      <c r="K6" s="83">
        <f>'SB 21'!F5</f>
        <v>67</v>
      </c>
      <c r="L6" s="83">
        <f>'SB 21'!G5</f>
        <v>71</v>
      </c>
    </row>
    <row r="7" spans="1:17">
      <c r="F7" s="36" t="s">
        <v>126</v>
      </c>
      <c r="G7" s="83"/>
      <c r="H7" s="83">
        <f>SUM('SB 21'!C39:C47)</f>
        <v>0</v>
      </c>
      <c r="I7" s="83">
        <f>SUM('SB 21'!D39:D47)</f>
        <v>0</v>
      </c>
      <c r="J7" s="83">
        <f>SUM('SB 21'!E39:E47)</f>
        <v>0</v>
      </c>
      <c r="K7" s="83">
        <f>SUM('SB 21'!F39:F47)</f>
        <v>0</v>
      </c>
      <c r="L7" s="83">
        <f>SUM('SB 21'!G39:G47)</f>
        <v>0</v>
      </c>
    </row>
    <row r="8" spans="1:17">
      <c r="F8" s="36"/>
      <c r="G8" s="41"/>
      <c r="H8" s="41"/>
      <c r="I8" s="41"/>
      <c r="J8" s="41"/>
      <c r="K8" s="41"/>
      <c r="L8" s="41"/>
    </row>
    <row r="19" spans="20:20">
      <c r="T19" s="13"/>
    </row>
    <row r="20" spans="20:20">
      <c r="T20" s="13"/>
    </row>
    <row r="43" spans="10:10" ht="15.75">
      <c r="J43" s="25"/>
    </row>
  </sheetData>
  <mergeCells count="1">
    <mergeCell ref="A1:Q1"/>
  </mergeCells>
  <pageMargins left="0.7" right="0.7" top="0.75" bottom="0.75" header="0.3" footer="0.3"/>
  <pageSetup scale="78" orientation="landscape" horizontalDpi="4294967293" verticalDpi="4294967293" r:id="rId1"/>
  <headerFooter>
    <oddHeader>&amp;L&amp;A&amp;C&amp;"-,Bold"&amp;14Alaska Economy Choices&amp;RPage &amp;P of &amp;N</oddHeader>
    <oddFooter>&amp;L&amp;Z&amp;F</oddFooter>
  </headerFooter>
  <colBreaks count="1" manualBreakCount="1">
    <brk id="8" max="104857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8">
    <pageSetUpPr fitToPage="1"/>
  </sheetPr>
  <dimension ref="A1:N83"/>
  <sheetViews>
    <sheetView zoomScale="120" zoomScaleNormal="120" workbookViewId="0">
      <selection activeCell="A2" sqref="A2"/>
    </sheetView>
  </sheetViews>
  <sheetFormatPr defaultColWidth="9.140625" defaultRowHeight="18" customHeight="1" outlineLevelRow="1"/>
  <cols>
    <col min="1" max="1" width="52.140625" style="149" customWidth="1"/>
    <col min="2" max="7" width="13.7109375" style="149" customWidth="1"/>
    <col min="8" max="8" width="1.42578125" style="149" customWidth="1"/>
    <col min="9" max="9" width="7" style="149" customWidth="1"/>
    <col min="10" max="10" width="12.28515625" style="149" customWidth="1"/>
    <col min="11" max="11" width="9.42578125" style="149" bestFit="1" customWidth="1"/>
    <col min="12" max="16384" width="9.140625" style="149"/>
  </cols>
  <sheetData>
    <row r="1" spans="1:9" ht="18" customHeight="1">
      <c r="A1" s="12" t="s">
        <v>150</v>
      </c>
    </row>
    <row r="2" spans="1:9" ht="18" customHeight="1">
      <c r="A2" s="45" t="s">
        <v>679</v>
      </c>
    </row>
    <row r="3" spans="1:9" ht="30">
      <c r="A3" s="132"/>
      <c r="B3" s="4" t="s">
        <v>4</v>
      </c>
      <c r="C3" s="4" t="s">
        <v>2</v>
      </c>
      <c r="D3" s="4" t="s">
        <v>3</v>
      </c>
      <c r="E3" s="4"/>
    </row>
    <row r="4" spans="1:9" ht="18" customHeight="1">
      <c r="B4" s="11" t="s">
        <v>107</v>
      </c>
      <c r="C4" s="11" t="s">
        <v>108</v>
      </c>
      <c r="D4" s="11" t="s">
        <v>109</v>
      </c>
      <c r="E4" s="11" t="s">
        <v>110</v>
      </c>
      <c r="F4" s="11" t="s">
        <v>111</v>
      </c>
      <c r="G4" s="11" t="s">
        <v>285</v>
      </c>
      <c r="H4" s="46"/>
      <c r="I4" s="3"/>
    </row>
    <row r="5" spans="1:9" ht="18" customHeight="1">
      <c r="A5" s="149" t="str">
        <f>'HB61'!A5</f>
        <v>Average Oil Price, Alaska North Slope, $/barrel</v>
      </c>
      <c r="B5" s="116">
        <f>'Common Inputs'!B11</f>
        <v>46.81</v>
      </c>
      <c r="C5" s="116">
        <f>'Common Inputs'!C11</f>
        <v>54</v>
      </c>
      <c r="D5" s="116">
        <f>'Common Inputs'!D11</f>
        <v>60</v>
      </c>
      <c r="E5" s="116">
        <f>'Common Inputs'!E11</f>
        <v>63</v>
      </c>
      <c r="F5" s="116">
        <f>'Common Inputs'!F11</f>
        <v>67</v>
      </c>
      <c r="G5" s="116">
        <f>'Common Inputs'!G11</f>
        <v>71</v>
      </c>
      <c r="H5" s="57"/>
      <c r="I5" s="115" t="s">
        <v>186</v>
      </c>
    </row>
    <row r="6" spans="1:9" ht="18" customHeight="1">
      <c r="A6" s="31" t="str">
        <f>'HB61'!A6</f>
        <v>Average Oil Production, thousand barrels/day</v>
      </c>
      <c r="B6" s="51">
        <f>'Common Inputs'!B12</f>
        <v>505.8</v>
      </c>
      <c r="C6" s="51">
        <f>'Common Inputs'!C12</f>
        <v>469.7</v>
      </c>
      <c r="D6" s="51">
        <f>'Common Inputs'!D12</f>
        <v>457.8</v>
      </c>
      <c r="E6" s="51">
        <f>'Common Inputs'!E12</f>
        <v>443.1</v>
      </c>
      <c r="F6" s="51">
        <f>'Common Inputs'!F12</f>
        <v>426.5</v>
      </c>
      <c r="G6" s="51">
        <f>'Common Inputs'!G12</f>
        <v>410</v>
      </c>
      <c r="H6" s="52"/>
      <c r="I6" s="115" t="s">
        <v>186</v>
      </c>
    </row>
    <row r="7" spans="1:9" ht="18" customHeight="1">
      <c r="A7" s="149" t="str">
        <f>'HB61'!A7</f>
        <v>Unrestricted Petroleum Royalties, $ mil.</v>
      </c>
      <c r="B7" s="6">
        <f>'HB61'!B7</f>
        <v>592.09999999999991</v>
      </c>
      <c r="C7" s="6">
        <f>'HB61'!C7</f>
        <v>645.39999999999986</v>
      </c>
      <c r="D7" s="6">
        <f>'HB61'!D7</f>
        <v>702.19999999999993</v>
      </c>
      <c r="E7" s="6">
        <f>'HB61'!E7</f>
        <v>713.09999999999991</v>
      </c>
      <c r="F7" s="6">
        <f>'HB61'!F7</f>
        <v>729.1</v>
      </c>
      <c r="G7" s="6">
        <f>'HB61'!G7</f>
        <v>747.00000000000011</v>
      </c>
      <c r="H7" s="6"/>
      <c r="I7" s="3"/>
    </row>
    <row r="8" spans="1:9" ht="18" customHeight="1">
      <c r="A8" s="149" t="str">
        <f>'HB61'!A8</f>
        <v>Other Unrestricted Petroleum Revenues, $ mil.</v>
      </c>
      <c r="B8" s="6">
        <f>'HB61'!B8</f>
        <v>374.9</v>
      </c>
      <c r="C8" s="6">
        <f>'HB61'!C8</f>
        <v>454.4</v>
      </c>
      <c r="D8" s="6">
        <f>'HB61'!D8</f>
        <v>641.90000000000009</v>
      </c>
      <c r="E8" s="6">
        <f>'HB61'!E8</f>
        <v>647.40000000000009</v>
      </c>
      <c r="F8" s="6">
        <f>'HB61'!F8</f>
        <v>649.09999999999991</v>
      </c>
      <c r="G8" s="6">
        <f>'HB61'!G8</f>
        <v>683.7</v>
      </c>
      <c r="H8" s="6"/>
      <c r="I8" s="3"/>
    </row>
    <row r="9" spans="1:9" ht="18" customHeight="1">
      <c r="A9" s="149" t="str">
        <f>'HB61'!A9</f>
        <v>Non-Petroleum + UGF Invest. Revenues, $ mil.</v>
      </c>
      <c r="B9" s="51">
        <f>'HB61'!B9</f>
        <v>479.8</v>
      </c>
      <c r="C9" s="51">
        <f>'HB61'!C9</f>
        <v>524.29999999999995</v>
      </c>
      <c r="D9" s="51">
        <f>'HB61'!D9</f>
        <v>528.5</v>
      </c>
      <c r="E9" s="51">
        <f>'HB61'!E9</f>
        <v>546.20000000000005</v>
      </c>
      <c r="F9" s="51">
        <f>'HB61'!F9</f>
        <v>565.29999999999995</v>
      </c>
      <c r="G9" s="51">
        <f>'HB61'!G9</f>
        <v>581.70000000000005</v>
      </c>
      <c r="H9" s="52"/>
      <c r="I9" s="3"/>
    </row>
    <row r="10" spans="1:9" s="16" customFormat="1" ht="18" customHeight="1">
      <c r="A10" s="178" t="str">
        <f>'HB61'!A10</f>
        <v>Total UGF Revenues, $ mil.</v>
      </c>
      <c r="B10" s="179">
        <f>SUM(B7:B9)</f>
        <v>1446.8</v>
      </c>
      <c r="C10" s="179">
        <f t="shared" ref="C10:G10" si="0">SUM(C7:C9)</f>
        <v>1624.0999999999997</v>
      </c>
      <c r="D10" s="179">
        <f t="shared" si="0"/>
        <v>1872.6</v>
      </c>
      <c r="E10" s="179">
        <f t="shared" si="0"/>
        <v>1906.7</v>
      </c>
      <c r="F10" s="179">
        <f t="shared" si="0"/>
        <v>1943.4999999999998</v>
      </c>
      <c r="G10" s="179">
        <f t="shared" si="0"/>
        <v>2012.4000000000003</v>
      </c>
      <c r="H10" s="125"/>
      <c r="I10" s="123"/>
    </row>
    <row r="11" spans="1:9" s="16" customFormat="1" ht="18" customHeight="1">
      <c r="A11" s="16" t="str">
        <f>'HB61'!A11</f>
        <v>UGF Operating Spending, execpt Oil Tax Credits, $ mil.</v>
      </c>
      <c r="B11" s="128">
        <f>'Common Inputs'!B24</f>
        <v>4246.8</v>
      </c>
      <c r="C11" s="128">
        <f>'Common Inputs'!C24</f>
        <v>4167.5</v>
      </c>
      <c r="D11" s="128">
        <f>'Common Inputs'!D24</f>
        <v>4150.2</v>
      </c>
      <c r="E11" s="128">
        <f>'Common Inputs'!E24</f>
        <v>4122.2</v>
      </c>
      <c r="F11" s="128">
        <f>'Common Inputs'!F24</f>
        <v>4217.5</v>
      </c>
      <c r="G11" s="128">
        <f>'Common Inputs'!G24</f>
        <v>4298.1000000000004</v>
      </c>
      <c r="H11" s="125"/>
      <c r="I11" s="115" t="s">
        <v>336</v>
      </c>
    </row>
    <row r="12" spans="1:9" s="16" customFormat="1" ht="18" customHeight="1">
      <c r="A12" s="16" t="str">
        <f>'HB61'!A12</f>
        <v>UGF Capital Spending</v>
      </c>
      <c r="B12" s="128">
        <f>'Common Inputs'!B26</f>
        <v>96.1</v>
      </c>
      <c r="C12" s="128">
        <f>'Common Inputs'!C26</f>
        <v>115.2</v>
      </c>
      <c r="D12" s="128">
        <f>'Common Inputs'!D26</f>
        <v>180</v>
      </c>
      <c r="E12" s="128">
        <f>'Common Inputs'!E26</f>
        <v>180</v>
      </c>
      <c r="F12" s="128">
        <f>'Common Inputs'!F26</f>
        <v>180</v>
      </c>
      <c r="G12" s="128">
        <f>'Common Inputs'!G26</f>
        <v>180</v>
      </c>
      <c r="H12" s="125"/>
      <c r="I12" s="115"/>
    </row>
    <row r="13" spans="1:9" s="16" customFormat="1" ht="18" customHeight="1">
      <c r="A13" s="175" t="str">
        <f>'HB61'!A13</f>
        <v>Oil Tax Credit Spending, $ mil.</v>
      </c>
      <c r="B13" s="128">
        <f>'Common Inputs'!B35</f>
        <v>30</v>
      </c>
      <c r="C13" s="128">
        <f>'Common Inputs'!C35</f>
        <v>961</v>
      </c>
      <c r="D13" s="128">
        <f>'Common Inputs'!D35</f>
        <v>223</v>
      </c>
      <c r="E13" s="128">
        <f>'Common Inputs'!E35</f>
        <v>192</v>
      </c>
      <c r="F13" s="128">
        <f>'Common Inputs'!F35</f>
        <v>151</v>
      </c>
      <c r="G13" s="128">
        <f>'Common Inputs'!G35</f>
        <v>150</v>
      </c>
      <c r="H13" s="117"/>
      <c r="I13" s="123"/>
    </row>
    <row r="14" spans="1:9" s="16" customFormat="1" ht="18" customHeight="1">
      <c r="A14" s="126" t="str">
        <f>'HB61'!A14</f>
        <v>Supplemental Spending, $ mil.</v>
      </c>
      <c r="B14" s="127">
        <f>'Common Inputs'!B25</f>
        <v>0</v>
      </c>
      <c r="C14" s="127">
        <f>'Common Inputs'!C25</f>
        <v>0</v>
      </c>
      <c r="D14" s="127">
        <f>'Common Inputs'!D25</f>
        <v>0</v>
      </c>
      <c r="E14" s="127">
        <f>'Common Inputs'!E25</f>
        <v>0</v>
      </c>
      <c r="F14" s="127">
        <f>'Common Inputs'!F25</f>
        <v>0</v>
      </c>
      <c r="G14" s="127">
        <f>'Common Inputs'!G25</f>
        <v>0</v>
      </c>
      <c r="H14" s="117"/>
      <c r="I14" s="123"/>
    </row>
    <row r="15" spans="1:9" s="16" customFormat="1" ht="18" customHeight="1">
      <c r="A15" s="175" t="str">
        <f>'HB61'!A15</f>
        <v>Total Spending, $ mil.</v>
      </c>
      <c r="B15" s="128">
        <f>SUM(B11:B14)</f>
        <v>4372.9000000000005</v>
      </c>
      <c r="C15" s="128">
        <f t="shared" ref="C15:G15" si="1">SUM(C11:C14)</f>
        <v>5243.7</v>
      </c>
      <c r="D15" s="128">
        <f t="shared" si="1"/>
        <v>4553.2</v>
      </c>
      <c r="E15" s="128">
        <f t="shared" si="1"/>
        <v>4494.2</v>
      </c>
      <c r="F15" s="128">
        <f t="shared" si="1"/>
        <v>4548.5</v>
      </c>
      <c r="G15" s="128">
        <f t="shared" si="1"/>
        <v>4628.1000000000004</v>
      </c>
      <c r="H15" s="117"/>
      <c r="I15" s="123"/>
    </row>
    <row r="16" spans="1:9" s="16" customFormat="1" ht="18" customHeight="1" thickBot="1">
      <c r="A16" s="184" t="str">
        <f>'HB61'!A16</f>
        <v>Fiscal Gap (negative is Gap), $ mil.</v>
      </c>
      <c r="B16" s="185">
        <f>B10-B15</f>
        <v>-2926.1000000000004</v>
      </c>
      <c r="C16" s="185">
        <f t="shared" ref="C16:G16" si="2">C10-C15</f>
        <v>-3619.6000000000004</v>
      </c>
      <c r="D16" s="185">
        <f t="shared" si="2"/>
        <v>-2680.6</v>
      </c>
      <c r="E16" s="185">
        <f t="shared" si="2"/>
        <v>-2587.5</v>
      </c>
      <c r="F16" s="185">
        <f t="shared" si="2"/>
        <v>-2605</v>
      </c>
      <c r="G16" s="185">
        <f t="shared" si="2"/>
        <v>-2615.6999999999998</v>
      </c>
      <c r="H16" s="125"/>
      <c r="I16" s="123"/>
    </row>
    <row r="17" spans="1:9" ht="18" customHeight="1" thickTop="1">
      <c r="A17" s="161" t="s">
        <v>310</v>
      </c>
      <c r="B17" s="155"/>
      <c r="C17" s="155"/>
      <c r="D17" s="155"/>
      <c r="E17" s="155"/>
      <c r="F17" s="155"/>
      <c r="G17" s="155"/>
      <c r="H17" s="156"/>
      <c r="I17" s="44"/>
    </row>
    <row r="18" spans="1:9" ht="6" customHeight="1">
      <c r="A18" s="76"/>
      <c r="B18" s="157"/>
      <c r="C18" s="157"/>
      <c r="D18" s="157"/>
      <c r="E18" s="157"/>
      <c r="F18" s="157"/>
      <c r="G18" s="157"/>
      <c r="H18" s="158"/>
      <c r="I18" s="44"/>
    </row>
    <row r="19" spans="1:9" ht="15">
      <c r="A19" s="5" t="s">
        <v>367</v>
      </c>
      <c r="B19" s="182">
        <v>0.5</v>
      </c>
      <c r="C19" s="180" t="s">
        <v>688</v>
      </c>
      <c r="D19" s="157"/>
      <c r="E19" s="157"/>
      <c r="F19" s="157"/>
      <c r="G19" s="157"/>
      <c r="H19" s="158"/>
      <c r="I19" s="44"/>
    </row>
    <row r="20" spans="1:9" ht="15">
      <c r="A20" s="5" t="s">
        <v>499</v>
      </c>
      <c r="B20" s="182">
        <v>0.5</v>
      </c>
      <c r="C20" s="180" t="s">
        <v>688</v>
      </c>
      <c r="F20" s="36" t="s">
        <v>373</v>
      </c>
      <c r="G20" s="187">
        <f>B19+B20</f>
        <v>1</v>
      </c>
      <c r="H20" s="158"/>
      <c r="I20" s="44"/>
    </row>
    <row r="21" spans="1:9" ht="15">
      <c r="A21" s="143" t="s">
        <v>378</v>
      </c>
      <c r="B21" s="182">
        <v>0.21</v>
      </c>
      <c r="C21" s="180" t="s">
        <v>689</v>
      </c>
      <c r="E21" s="36"/>
      <c r="F21" s="187"/>
      <c r="G21" s="157"/>
      <c r="H21" s="158"/>
      <c r="I21" s="44"/>
    </row>
    <row r="22" spans="1:9" ht="15">
      <c r="A22" s="143" t="s">
        <v>503</v>
      </c>
      <c r="B22" s="293">
        <v>0</v>
      </c>
      <c r="C22" s="180" t="s">
        <v>690</v>
      </c>
      <c r="E22" s="36"/>
      <c r="F22" s="187"/>
      <c r="G22" s="157"/>
      <c r="H22" s="158"/>
      <c r="I22" s="44"/>
    </row>
    <row r="23" spans="1:9" ht="15">
      <c r="A23" s="143" t="s">
        <v>501</v>
      </c>
      <c r="B23" s="182">
        <v>0</v>
      </c>
      <c r="C23" s="236" t="s">
        <v>693</v>
      </c>
      <c r="E23" s="36"/>
      <c r="F23" s="187"/>
      <c r="G23" s="157"/>
      <c r="H23" s="158"/>
      <c r="I23" s="44"/>
    </row>
    <row r="24" spans="1:9" ht="15">
      <c r="A24" s="143" t="s">
        <v>718</v>
      </c>
      <c r="B24" s="361">
        <v>0</v>
      </c>
      <c r="C24" s="236" t="s">
        <v>71</v>
      </c>
      <c r="E24" s="36"/>
      <c r="F24" s="187"/>
      <c r="G24" s="157"/>
      <c r="H24" s="158"/>
      <c r="I24" s="44"/>
    </row>
    <row r="25" spans="1:9" ht="18.75" customHeight="1">
      <c r="A25" s="76" t="b">
        <v>1</v>
      </c>
      <c r="B25" s="180"/>
      <c r="C25" s="180" t="s">
        <v>691</v>
      </c>
      <c r="D25" s="157"/>
      <c r="E25" s="157"/>
      <c r="F25" s="157"/>
      <c r="G25" s="157"/>
      <c r="H25" s="158"/>
      <c r="I25" s="44"/>
    </row>
    <row r="26" spans="1:9" ht="15">
      <c r="A26" s="232" t="s">
        <v>311</v>
      </c>
      <c r="B26" s="293">
        <v>1000</v>
      </c>
      <c r="C26" s="180" t="s">
        <v>692</v>
      </c>
      <c r="E26" s="36"/>
      <c r="F26" s="187"/>
      <c r="G26" s="157"/>
      <c r="H26" s="158"/>
      <c r="I26" s="44"/>
    </row>
    <row r="27" spans="1:9" ht="5.25" customHeight="1">
      <c r="A27" s="143"/>
      <c r="B27" s="293"/>
      <c r="C27" s="180"/>
      <c r="E27" s="36"/>
      <c r="F27" s="187"/>
      <c r="G27" s="157"/>
      <c r="H27" s="158"/>
      <c r="I27" s="44"/>
    </row>
    <row r="28" spans="1:9" ht="15">
      <c r="A28" s="143"/>
      <c r="B28" s="182"/>
      <c r="C28" s="355" t="s">
        <v>698</v>
      </c>
      <c r="E28" s="36"/>
      <c r="F28" s="187"/>
      <c r="G28" s="157"/>
      <c r="H28" s="158"/>
      <c r="I28" s="44"/>
    </row>
    <row r="29" spans="1:9" ht="15.75" hidden="1" thickBot="1">
      <c r="A29" s="5" t="s">
        <v>368</v>
      </c>
      <c r="B29" s="290"/>
      <c r="C29" s="180" t="s">
        <v>384</v>
      </c>
      <c r="D29" s="157"/>
      <c r="E29" s="157"/>
      <c r="F29" s="157"/>
      <c r="G29" s="157"/>
      <c r="H29" s="158"/>
      <c r="I29" s="44"/>
    </row>
    <row r="30" spans="1:9" ht="15.75" hidden="1" thickBot="1">
      <c r="A30" s="149" t="s">
        <v>224</v>
      </c>
      <c r="B30" s="290"/>
      <c r="C30" s="180" t="s">
        <v>500</v>
      </c>
      <c r="D30" s="157"/>
      <c r="E30" s="157"/>
      <c r="F30" s="157"/>
      <c r="G30" s="157"/>
      <c r="H30" s="158"/>
      <c r="I30" s="44"/>
    </row>
    <row r="31" spans="1:9" ht="15" hidden="1">
      <c r="B31" s="174"/>
      <c r="C31" s="180"/>
      <c r="D31" s="157"/>
      <c r="E31" s="157"/>
      <c r="F31" s="157"/>
      <c r="G31" s="157"/>
      <c r="H31" s="158"/>
      <c r="I31" s="44"/>
    </row>
    <row r="32" spans="1:9" ht="18" customHeight="1" thickBot="1">
      <c r="A32" s="76" t="str">
        <f>"Default FY18+ CBR Return is "&amp;TEXT(return_cbr, "0.00%")&amp;"."</f>
        <v>Default FY18+ CBR Return is 2.89%.</v>
      </c>
      <c r="B32" s="53"/>
      <c r="C32" s="5"/>
      <c r="D32" s="5"/>
      <c r="E32" s="5"/>
      <c r="F32" s="157"/>
      <c r="G32" s="157"/>
      <c r="H32" s="158"/>
      <c r="I32" s="44"/>
    </row>
    <row r="33" spans="1:14" ht="18" customHeight="1" thickBot="1">
      <c r="A33" s="76" t="s">
        <v>313</v>
      </c>
      <c r="B33" s="129"/>
      <c r="C33" s="162" t="s">
        <v>206</v>
      </c>
      <c r="D33" s="5"/>
      <c r="E33" s="157"/>
      <c r="F33" s="157"/>
      <c r="G33" s="157"/>
      <c r="H33" s="158"/>
      <c r="I33" s="44"/>
    </row>
    <row r="34" spans="1:14" ht="8.25" customHeight="1">
      <c r="A34" s="76"/>
      <c r="B34" s="157"/>
      <c r="C34" s="157"/>
      <c r="D34" s="157"/>
      <c r="E34" s="157"/>
      <c r="F34" s="157"/>
      <c r="G34" s="157"/>
      <c r="H34" s="158"/>
      <c r="I34" s="44"/>
    </row>
    <row r="35" spans="1:14" ht="8.25" customHeight="1" thickBot="1">
      <c r="A35" s="80"/>
      <c r="B35" s="159"/>
      <c r="C35" s="159"/>
      <c r="D35" s="159"/>
      <c r="E35" s="159"/>
      <c r="F35" s="159"/>
      <c r="G35" s="159"/>
      <c r="H35" s="160"/>
      <c r="I35" s="44"/>
    </row>
    <row r="36" spans="1:14" ht="18" customHeight="1" thickTop="1">
      <c r="A36" s="73" t="s">
        <v>5</v>
      </c>
      <c r="B36" s="318" t="s">
        <v>721</v>
      </c>
      <c r="C36" s="318" t="s">
        <v>551</v>
      </c>
      <c r="D36" s="318" t="s">
        <v>552</v>
      </c>
      <c r="E36" s="318" t="s">
        <v>553</v>
      </c>
      <c r="F36" s="318" t="s">
        <v>554</v>
      </c>
      <c r="G36" s="318" t="s">
        <v>555</v>
      </c>
      <c r="H36" s="74"/>
      <c r="I36" s="3"/>
    </row>
    <row r="37" spans="1:14" ht="18" customHeight="1">
      <c r="A37" s="56" t="s">
        <v>340</v>
      </c>
      <c r="B37" s="53"/>
      <c r="C37" s="53">
        <f>$B$20*'PF Model'!G205</f>
        <v>1505.124515288627</v>
      </c>
      <c r="D37" s="53">
        <f>$B$20*'PF Model'!H205</f>
        <v>1553.2623178044107</v>
      </c>
      <c r="E37" s="53">
        <f>$B$20*'PF Model'!I205</f>
        <v>1544.3909721212895</v>
      </c>
      <c r="F37" s="53">
        <f>$B$20*'PF Model'!J205</f>
        <v>1607.3819789031468</v>
      </c>
      <c r="G37" s="53">
        <f>$B$20*'PF Model'!K205</f>
        <v>1752.064996548306</v>
      </c>
      <c r="H37" s="173"/>
      <c r="I37" s="3"/>
    </row>
    <row r="38" spans="1:14" ht="18" customHeight="1">
      <c r="A38" s="292" t="s">
        <v>233</v>
      </c>
      <c r="B38" s="53"/>
      <c r="C38" s="53">
        <f>IF(reduce_royalty_50_50,(0.745-'HB61'!C24)*'HB61'!C23, 0)</f>
        <v>53.299204905205528</v>
      </c>
      <c r="D38" s="53">
        <f>IF(reduce_royalty_50_50,(0.745-'HB61'!D24)*'HB61'!D23, 0)</f>
        <v>60.441075780784651</v>
      </c>
      <c r="E38" s="53">
        <f>IF(reduce_royalty_50_50,(0.745-'HB61'!E24)*'HB61'!E23, 0)</f>
        <v>68.849448204810045</v>
      </c>
      <c r="F38" s="53">
        <f>IF(reduce_royalty_50_50,(0.745-'HB61'!F24)*'HB61'!F23, 0)</f>
        <v>76.020848365385831</v>
      </c>
      <c r="G38" s="53">
        <f>IF(reduce_royalty_50_50,(0.745-'HB61'!G24)*'HB61'!G23, 0)</f>
        <v>74.925696000173815</v>
      </c>
      <c r="H38" s="173"/>
      <c r="I38" s="3"/>
    </row>
    <row r="39" spans="1:14" ht="18" customHeight="1">
      <c r="A39" s="232" t="s">
        <v>697</v>
      </c>
      <c r="B39" s="53"/>
      <c r="C39" s="53">
        <f>MAX(-(C37+C40),MIN(-(C7+C38+'HB61'!C29-$B$26),0))</f>
        <v>0</v>
      </c>
      <c r="D39" s="53">
        <f>MAX(-(D37+D40),MIN(-(D7+D38+'HB61'!D29-$B$26),0))</f>
        <v>-17.841075780784649</v>
      </c>
      <c r="E39" s="53">
        <f>MAX(-(E37+E40),MIN(-(E7+E38+'HB61'!E29-$B$26),0))</f>
        <v>-54.449448204809869</v>
      </c>
      <c r="F39" s="53">
        <f>MAX(-(F37+F40),MIN(-(F7+F38+'HB61'!F29-$B$26),0))</f>
        <v>-88.520848365385973</v>
      </c>
      <c r="G39" s="53">
        <f>MAX(-(G37+G40),MIN(-(G7+G38+'HB61'!G29-$B$26),0))</f>
        <v>-135.125696000174</v>
      </c>
      <c r="H39" s="173"/>
      <c r="I39" s="3"/>
    </row>
    <row r="40" spans="1:14" ht="18" customHeight="1">
      <c r="A40" s="143" t="s">
        <v>502</v>
      </c>
      <c r="C40" s="53">
        <f>-'PF Model'!H213</f>
        <v>0</v>
      </c>
      <c r="D40" s="53">
        <f>-'PF Model'!I213</f>
        <v>0</v>
      </c>
      <c r="E40" s="53">
        <f>-'PF Model'!J213</f>
        <v>0</v>
      </c>
      <c r="F40" s="53">
        <f>-'PF Model'!K213</f>
        <v>0</v>
      </c>
      <c r="G40" s="53">
        <f>-'PF Model'!L213</f>
        <v>0</v>
      </c>
      <c r="H40" s="173"/>
    </row>
    <row r="41" spans="1:14" ht="18" hidden="1" customHeight="1">
      <c r="A41" s="56" t="s">
        <v>366</v>
      </c>
      <c r="B41" s="53"/>
      <c r="C41" s="53">
        <f>-C78</f>
        <v>0</v>
      </c>
      <c r="D41" s="53">
        <f>-D78</f>
        <v>0</v>
      </c>
      <c r="E41" s="53">
        <f>-E78</f>
        <v>0</v>
      </c>
      <c r="F41" s="53">
        <f>-F78</f>
        <v>0</v>
      </c>
      <c r="G41" s="53">
        <f>-G78</f>
        <v>0</v>
      </c>
      <c r="H41" s="173"/>
      <c r="I41" s="3"/>
    </row>
    <row r="42" spans="1:14" ht="18" customHeight="1" thickBot="1">
      <c r="A42" s="186" t="s">
        <v>720</v>
      </c>
      <c r="B42" s="53">
        <f>B24</f>
        <v>0</v>
      </c>
      <c r="C42" s="53"/>
      <c r="D42" s="53"/>
      <c r="E42" s="53"/>
      <c r="F42" s="53"/>
      <c r="G42" s="53"/>
      <c r="H42" s="173"/>
      <c r="I42" s="3"/>
    </row>
    <row r="43" spans="1:14" ht="16.5" hidden="1" thickTop="1" thickBot="1">
      <c r="A43" s="186" t="str">
        <f>"Excess Dividend Funding beyond " &amp; IF(ISBLANK(B30),"",TEXT($B$30, "$#,##0")) &amp; " Dividend Cap"</f>
        <v>Excess Dividend Funding beyond  Dividend Cap</v>
      </c>
      <c r="B43" s="53"/>
      <c r="C43" s="53">
        <f>C82</f>
        <v>0</v>
      </c>
      <c r="D43" s="53">
        <f>D82</f>
        <v>0</v>
      </c>
      <c r="E43" s="53">
        <f>E82</f>
        <v>0</v>
      </c>
      <c r="F43" s="53">
        <f>F82</f>
        <v>0</v>
      </c>
      <c r="G43" s="53">
        <f>G82</f>
        <v>0</v>
      </c>
      <c r="H43" s="173"/>
      <c r="I43" s="3"/>
    </row>
    <row r="44" spans="1:14" ht="18" customHeight="1" thickTop="1">
      <c r="A44" s="135" t="s">
        <v>204</v>
      </c>
      <c r="B44" s="37"/>
      <c r="C44" s="37"/>
      <c r="D44" s="37"/>
      <c r="E44" s="37"/>
      <c r="F44" s="37"/>
      <c r="G44" s="37"/>
      <c r="H44" s="75"/>
    </row>
    <row r="45" spans="1:14" ht="18" customHeight="1">
      <c r="A45" s="77" t="s">
        <v>676</v>
      </c>
      <c r="B45" s="37"/>
      <c r="C45" s="37"/>
      <c r="D45" s="37"/>
      <c r="E45" s="37"/>
      <c r="F45" s="37"/>
      <c r="G45" s="37"/>
      <c r="H45" s="78"/>
      <c r="J45" s="37"/>
      <c r="K45" s="37"/>
      <c r="L45" s="37"/>
      <c r="M45" s="37"/>
      <c r="N45" s="37"/>
    </row>
    <row r="46" spans="1:14" ht="18" customHeight="1">
      <c r="A46" s="77" t="s">
        <v>677</v>
      </c>
      <c r="B46" s="37"/>
      <c r="C46" s="37"/>
      <c r="D46" s="37"/>
      <c r="E46" s="37"/>
      <c r="F46" s="37"/>
      <c r="G46" s="37"/>
      <c r="H46" s="78"/>
    </row>
    <row r="47" spans="1:14" ht="18" customHeight="1">
      <c r="A47" s="77"/>
      <c r="B47" s="37"/>
      <c r="C47" s="37"/>
      <c r="D47" s="37"/>
      <c r="E47" s="37"/>
      <c r="F47" s="37"/>
      <c r="G47" s="37"/>
      <c r="H47" s="78"/>
      <c r="J47" s="37"/>
      <c r="K47" s="37"/>
      <c r="L47" s="37"/>
      <c r="M47" s="37"/>
      <c r="N47" s="37"/>
    </row>
    <row r="48" spans="1:14" ht="18" customHeight="1">
      <c r="A48" s="77"/>
      <c r="B48" s="37"/>
      <c r="C48" s="37"/>
      <c r="D48" s="37"/>
      <c r="E48" s="37"/>
      <c r="F48" s="37"/>
      <c r="G48" s="37"/>
      <c r="H48" s="78"/>
      <c r="J48" s="37"/>
      <c r="K48" s="37"/>
      <c r="L48" s="37"/>
      <c r="M48" s="37"/>
      <c r="N48" s="37"/>
    </row>
    <row r="49" spans="1:10" ht="18" customHeight="1">
      <c r="A49" s="77"/>
      <c r="B49" s="37"/>
      <c r="C49" s="137"/>
      <c r="D49" s="137"/>
      <c r="E49" s="137"/>
      <c r="F49" s="137"/>
      <c r="G49" s="137"/>
      <c r="H49" s="78"/>
    </row>
    <row r="50" spans="1:10" ht="18" customHeight="1">
      <c r="A50" s="77"/>
      <c r="B50" s="37"/>
      <c r="C50" s="137"/>
      <c r="D50" s="137"/>
      <c r="E50" s="137"/>
      <c r="F50" s="137"/>
      <c r="G50" s="137"/>
      <c r="H50" s="78"/>
    </row>
    <row r="51" spans="1:10" ht="18" customHeight="1">
      <c r="A51" s="77"/>
      <c r="B51" s="37"/>
      <c r="C51" s="37"/>
      <c r="D51" s="37"/>
      <c r="E51" s="37"/>
      <c r="F51" s="37"/>
      <c r="G51" s="37"/>
      <c r="H51" s="78"/>
    </row>
    <row r="52" spans="1:10" ht="18" customHeight="1">
      <c r="A52" s="76"/>
      <c r="B52" s="58"/>
      <c r="C52" s="58"/>
      <c r="D52" s="58"/>
      <c r="E52" s="58"/>
      <c r="F52" s="58"/>
      <c r="G52" s="58"/>
      <c r="H52" s="79"/>
      <c r="I52" s="5"/>
      <c r="J52" s="29"/>
    </row>
    <row r="53" spans="1:10" ht="18" customHeight="1" thickBot="1">
      <c r="A53" s="80" t="s">
        <v>1</v>
      </c>
      <c r="B53" s="81">
        <f t="shared" ref="B53:G53" si="3">SUM(B36:B52)</f>
        <v>0</v>
      </c>
      <c r="C53" s="81">
        <f t="shared" si="3"/>
        <v>1558.4237201938324</v>
      </c>
      <c r="D53" s="81">
        <f t="shared" si="3"/>
        <v>1595.8623178044106</v>
      </c>
      <c r="E53" s="81">
        <f t="shared" si="3"/>
        <v>1558.7909721212895</v>
      </c>
      <c r="F53" s="81">
        <f t="shared" si="3"/>
        <v>1594.8819789031465</v>
      </c>
      <c r="G53" s="81">
        <f t="shared" si="3"/>
        <v>1691.8649965483057</v>
      </c>
      <c r="H53" s="82"/>
    </row>
    <row r="54" spans="1:10" ht="18" customHeight="1" thickTop="1">
      <c r="A54" s="149" t="s">
        <v>189</v>
      </c>
      <c r="B54" s="1">
        <f t="shared" ref="B54:G54" si="4">B16+B53</f>
        <v>-2926.1000000000004</v>
      </c>
      <c r="C54" s="1">
        <f t="shared" si="4"/>
        <v>-2061.1762798061682</v>
      </c>
      <c r="D54" s="1">
        <f t="shared" si="4"/>
        <v>-1084.7376821955893</v>
      </c>
      <c r="E54" s="1">
        <f t="shared" si="4"/>
        <v>-1028.7090278787105</v>
      </c>
      <c r="F54" s="1">
        <f t="shared" si="4"/>
        <v>-1010.1180210968535</v>
      </c>
      <c r="G54" s="1">
        <f t="shared" si="4"/>
        <v>-923.83500345169409</v>
      </c>
      <c r="H54" s="1"/>
    </row>
    <row r="55" spans="1:10" ht="8.25" customHeight="1">
      <c r="F55" s="6"/>
      <c r="G55" s="6"/>
      <c r="H55" s="1"/>
    </row>
    <row r="56" spans="1:10" ht="15" hidden="1" outlineLevel="1">
      <c r="A56" s="33" t="s">
        <v>118</v>
      </c>
      <c r="B56" s="62">
        <f>cbr_end_fy16_adj</f>
        <v>8647.8000000000011</v>
      </c>
      <c r="C56" s="69">
        <f>B62</f>
        <v>6171.7926000000007</v>
      </c>
      <c r="D56" s="69">
        <f t="shared" ref="D56:G56" si="5">C62</f>
        <v>4360.6421290906337</v>
      </c>
      <c r="E56" s="69">
        <f t="shared" si="5"/>
        <v>3487.6975449180372</v>
      </c>
      <c r="F56" s="69">
        <f t="shared" si="5"/>
        <v>2646.3631306346106</v>
      </c>
      <c r="G56" s="69">
        <f t="shared" si="5"/>
        <v>1799.5737986082479</v>
      </c>
      <c r="H56" s="23"/>
      <c r="I56" s="44"/>
    </row>
    <row r="57" spans="1:10" ht="15" hidden="1" outlineLevel="1">
      <c r="A57" s="33" t="s">
        <v>208</v>
      </c>
      <c r="B57" s="62">
        <f>'Common Inputs'!B76</f>
        <v>350</v>
      </c>
      <c r="C57" s="62">
        <f>'Common Inputs'!C76</f>
        <v>100</v>
      </c>
      <c r="D57" s="62">
        <f>'Common Inputs'!D76</f>
        <v>100</v>
      </c>
      <c r="E57" s="62">
        <f>'Common Inputs'!E76</f>
        <v>100</v>
      </c>
      <c r="F57" s="62">
        <f>'Common Inputs'!F76</f>
        <v>100</v>
      </c>
      <c r="G57" s="62">
        <f>'Common Inputs'!G76</f>
        <v>100</v>
      </c>
      <c r="H57" s="23"/>
      <c r="I57" s="44"/>
    </row>
    <row r="58" spans="1:10" ht="15" hidden="1" outlineLevel="1">
      <c r="A58" s="33" t="s">
        <v>194</v>
      </c>
      <c r="B58" s="62">
        <f>(B56+0.5*(B57+B54))*return_cbr_fy17</f>
        <v>100.0926</v>
      </c>
      <c r="C58" s="1">
        <f>MAX(0,(C56+0.5*(C54+C57))*IF(ISBLANK($B$33),return_cbr,$B$33))</f>
        <v>150.0258088968009</v>
      </c>
      <c r="D58" s="1">
        <f>MAX(0,(D56+0.5*(D54+D57))*IF(ISBLANK($B$33),return_cbr,$B$33))</f>
        <v>111.79309802299304</v>
      </c>
      <c r="E58" s="1">
        <f>MAX(0,(E56+0.5*(E54+E57))*IF(ISBLANK($B$33),return_cbr,$B$33))</f>
        <v>87.374613595283904</v>
      </c>
      <c r="F58" s="1">
        <f>MAX(0,(F56+0.5*(F54+F57))*IF(ISBLANK($B$33),return_cbr,$B$33))</f>
        <v>63.328689070490711</v>
      </c>
      <c r="G58" s="1">
        <f>MAX(0,(G56+0.5*(G54+G57))*IF(ISBLANK($B$33),return_cbr,$B$33))</f>
        <v>40.103266979901385</v>
      </c>
      <c r="H58" s="23"/>
      <c r="I58" s="44"/>
    </row>
    <row r="59" spans="1:10" ht="18" customHeight="1" collapsed="1">
      <c r="A59" s="149" t="s">
        <v>44</v>
      </c>
      <c r="B59" s="1">
        <f t="shared" ref="B59:G59" si="6">MIN(-B54,SUM(B56:B58))</f>
        <v>2926.1000000000004</v>
      </c>
      <c r="C59" s="1">
        <f t="shared" si="6"/>
        <v>2061.1762798061682</v>
      </c>
      <c r="D59" s="1">
        <f t="shared" si="6"/>
        <v>1084.7376821955893</v>
      </c>
      <c r="E59" s="1">
        <f t="shared" si="6"/>
        <v>1028.7090278787105</v>
      </c>
      <c r="F59" s="1">
        <f t="shared" si="6"/>
        <v>1010.1180210968535</v>
      </c>
      <c r="G59" s="1">
        <f t="shared" si="6"/>
        <v>923.83500345169409</v>
      </c>
      <c r="H59" s="1"/>
    </row>
    <row r="60" spans="1:10" ht="18" customHeight="1">
      <c r="A60" s="149" t="s">
        <v>45</v>
      </c>
      <c r="B60" s="7">
        <f t="shared" ref="B60:G60" si="7">-B54-B59</f>
        <v>0</v>
      </c>
      <c r="C60" s="7">
        <f t="shared" si="7"/>
        <v>0</v>
      </c>
      <c r="D60" s="7">
        <f t="shared" si="7"/>
        <v>0</v>
      </c>
      <c r="E60" s="7">
        <f t="shared" si="7"/>
        <v>0</v>
      </c>
      <c r="F60" s="7">
        <f t="shared" si="7"/>
        <v>0</v>
      </c>
      <c r="G60" s="7">
        <f t="shared" si="7"/>
        <v>0</v>
      </c>
      <c r="H60" s="7"/>
    </row>
    <row r="61" spans="1:10" ht="6" customHeight="1">
      <c r="B61" s="7"/>
      <c r="C61" s="7"/>
      <c r="D61" s="7"/>
      <c r="E61" s="7"/>
      <c r="F61" s="7"/>
      <c r="G61" s="7"/>
      <c r="H61" s="7"/>
    </row>
    <row r="62" spans="1:10" ht="18" customHeight="1">
      <c r="A62" s="71" t="s">
        <v>97</v>
      </c>
      <c r="B62" s="72">
        <f t="shared" ref="B62:G62" si="8">SUM(B56:B58)-B59</f>
        <v>6171.7926000000007</v>
      </c>
      <c r="C62" s="72">
        <f t="shared" si="8"/>
        <v>4360.6421290906337</v>
      </c>
      <c r="D62" s="72">
        <f t="shared" si="8"/>
        <v>3487.6975449180372</v>
      </c>
      <c r="E62" s="72">
        <f t="shared" si="8"/>
        <v>2646.3631306346106</v>
      </c>
      <c r="F62" s="72">
        <f t="shared" si="8"/>
        <v>1799.5737986082479</v>
      </c>
      <c r="G62" s="72">
        <f t="shared" si="8"/>
        <v>1015.8420621364553</v>
      </c>
      <c r="H62" s="29"/>
    </row>
    <row r="63" spans="1:10" ht="18" customHeight="1">
      <c r="A63" s="71" t="s">
        <v>98</v>
      </c>
      <c r="B63" s="72">
        <f>'HB61'!B90</f>
        <v>6171.7926000000007</v>
      </c>
      <c r="C63" s="72">
        <f>'HB61'!C90</f>
        <v>2779.6991861400002</v>
      </c>
      <c r="D63" s="72">
        <f>'HB61'!D90</f>
        <v>242.14282261944618</v>
      </c>
      <c r="E63" s="72">
        <f>'HB61'!E90</f>
        <v>0</v>
      </c>
      <c r="F63" s="72">
        <f>'HB61'!F90</f>
        <v>0</v>
      </c>
      <c r="G63" s="72">
        <f>'HB61'!G90</f>
        <v>0</v>
      </c>
      <c r="H63" s="29"/>
    </row>
    <row r="64" spans="1:10" ht="15">
      <c r="A64" s="33"/>
      <c r="B64" s="29"/>
      <c r="C64" s="23"/>
      <c r="D64" s="23"/>
      <c r="E64" s="23"/>
      <c r="F64" s="23"/>
      <c r="G64" s="23"/>
      <c r="H64" s="23"/>
    </row>
    <row r="65" spans="1:10" ht="18" customHeight="1">
      <c r="A65" s="71" t="s">
        <v>30</v>
      </c>
      <c r="B65" s="72">
        <f>'PF Model'!G196</f>
        <v>56484.371347073997</v>
      </c>
      <c r="C65" s="72">
        <f>'PF Model'!H196</f>
        <v>57496.911778566595</v>
      </c>
      <c r="D65" s="72">
        <f>'PF Model'!I196</f>
        <v>58519.795625323488</v>
      </c>
      <c r="E65" s="72">
        <f>'PF Model'!J196</f>
        <v>59671.198689181918</v>
      </c>
      <c r="F65" s="72">
        <f>'PF Model'!K196</f>
        <v>60815.688493621063</v>
      </c>
      <c r="G65" s="72">
        <f>'PF Model'!L196</f>
        <v>61798.429824997795</v>
      </c>
      <c r="H65" s="29"/>
      <c r="I65" s="113">
        <f>(G65/D65)^(1/3)-1</f>
        <v>1.8337054043788603E-2</v>
      </c>
      <c r="J65" s="149" t="s">
        <v>439</v>
      </c>
    </row>
    <row r="66" spans="1:10" ht="18" customHeight="1">
      <c r="A66" s="71" t="s">
        <v>28</v>
      </c>
      <c r="B66" s="72">
        <f>'PF Model'!G28</f>
        <v>56484.371347073997</v>
      </c>
      <c r="C66" s="72">
        <f>'PF Model'!H28</f>
        <v>59057.187646130886</v>
      </c>
      <c r="D66" s="72">
        <f>'PF Model'!I28</f>
        <v>61786.298702676024</v>
      </c>
      <c r="E66" s="72">
        <f>'PF Model'!J28</f>
        <v>62469.954502832501</v>
      </c>
      <c r="F66" s="72">
        <f>'PF Model'!K28</f>
        <v>62869.258320105262</v>
      </c>
      <c r="G66" s="72">
        <f>'PF Model'!L28</f>
        <v>63122.681706917727</v>
      </c>
      <c r="H66" s="29"/>
      <c r="I66" s="336"/>
    </row>
    <row r="67" spans="1:10" ht="8.25" customHeight="1">
      <c r="D67" s="1"/>
      <c r="E67" s="1"/>
      <c r="F67" s="1"/>
      <c r="G67" s="1"/>
      <c r="H67" s="1"/>
    </row>
    <row r="68" spans="1:10" ht="18" customHeight="1">
      <c r="A68" s="71" t="s">
        <v>31</v>
      </c>
      <c r="B68" s="72">
        <f>'PF Model'!G217</f>
        <v>11670.469051503305</v>
      </c>
      <c r="C68" s="72">
        <f>'PF Model'!H217</f>
        <v>11264.556039568728</v>
      </c>
      <c r="D68" s="72">
        <f>'PF Model'!I217</f>
        <v>10836.542412955607</v>
      </c>
      <c r="E68" s="72">
        <f>'PF Model'!J217</f>
        <v>10534.611584239483</v>
      </c>
      <c r="F68" s="72">
        <f>'PF Model'!K217</f>
        <v>10206.31132651991</v>
      </c>
      <c r="G68" s="72">
        <f>'PF Model'!L217</f>
        <v>9680.117868676236</v>
      </c>
      <c r="H68" s="29"/>
      <c r="I68" s="113">
        <f>(G68/D68)^(1/3)-1</f>
        <v>-3.6917916883519086E-2</v>
      </c>
      <c r="J68" s="149" t="s">
        <v>440</v>
      </c>
    </row>
    <row r="69" spans="1:10" ht="18" customHeight="1">
      <c r="A69" s="71" t="s">
        <v>29</v>
      </c>
      <c r="B69" s="72">
        <f>'PF Model'!G45</f>
        <v>11670.469051503305</v>
      </c>
      <c r="C69" s="72">
        <f>'PF Model'!H45</f>
        <v>12805.67558057932</v>
      </c>
      <c r="D69" s="72">
        <f>'PF Model'!I45</f>
        <v>14036.041598276737</v>
      </c>
      <c r="E69" s="72">
        <f>'PF Model'!J45</f>
        <v>12940.780384446334</v>
      </c>
      <c r="F69" s="72">
        <f>'PF Model'!K45</f>
        <v>11455.729270845331</v>
      </c>
      <c r="G69" s="72">
        <f>'PF Model'!L45</f>
        <v>9740.3733945314652</v>
      </c>
      <c r="H69" s="29"/>
    </row>
    <row r="70" spans="1:10" ht="9" customHeight="1"/>
    <row r="71" spans="1:10" ht="18" customHeight="1">
      <c r="C71" s="30">
        <v>43009</v>
      </c>
      <c r="D71" s="30">
        <v>43374</v>
      </c>
      <c r="E71" s="30">
        <v>43739</v>
      </c>
      <c r="F71" s="30">
        <v>44105</v>
      </c>
      <c r="G71" s="30">
        <v>44470</v>
      </c>
      <c r="H71" s="59"/>
    </row>
    <row r="72" spans="1:10" ht="18" customHeight="1">
      <c r="A72" s="71" t="s">
        <v>559</v>
      </c>
      <c r="B72" s="72"/>
      <c r="C72" s="72">
        <f>C81</f>
        <v>2240.4135886896033</v>
      </c>
      <c r="D72" s="72">
        <f t="shared" ref="D72:G72" si="9">D81</f>
        <v>2293.1965858392173</v>
      </c>
      <c r="E72" s="72">
        <f t="shared" si="9"/>
        <v>2259.9796410362369</v>
      </c>
      <c r="F72" s="72">
        <f t="shared" si="9"/>
        <v>2333.2647835335679</v>
      </c>
      <c r="G72" s="72">
        <f t="shared" si="9"/>
        <v>2524.6567884290398</v>
      </c>
      <c r="H72" s="29"/>
    </row>
    <row r="73" spans="1:10" ht="18" customHeight="1">
      <c r="A73" s="71" t="s">
        <v>34</v>
      </c>
      <c r="B73" s="72"/>
      <c r="C73" s="72">
        <f>'HB61'!C108</f>
        <v>2240.4135886896033</v>
      </c>
      <c r="D73" s="72">
        <f>'HB61'!D108</f>
        <v>2293.4589332172404</v>
      </c>
      <c r="E73" s="72">
        <f>'HB61'!E108</f>
        <v>2275.760482349207</v>
      </c>
      <c r="F73" s="72">
        <f>'HB61'!F108</f>
        <v>2380.838917196153</v>
      </c>
      <c r="G73" s="72">
        <f>'HB61'!G108</f>
        <v>2599.0175137051265</v>
      </c>
      <c r="H73" s="29"/>
    </row>
    <row r="74" spans="1:10" ht="18" customHeight="1">
      <c r="A74" s="22"/>
      <c r="B74" s="37"/>
      <c r="C74" s="38"/>
      <c r="D74" s="38"/>
      <c r="E74" s="38"/>
      <c r="F74" s="38"/>
      <c r="G74" s="38"/>
      <c r="H74" s="38"/>
    </row>
    <row r="75" spans="1:10" ht="18" hidden="1" customHeight="1" outlineLevel="1">
      <c r="A75" s="149" t="s">
        <v>19</v>
      </c>
      <c r="B75" s="13">
        <f>init_pfd_recips</f>
        <v>654000</v>
      </c>
      <c r="C75" s="13">
        <f>B75*(1+div_growth)</f>
        <v>659755.19999999995</v>
      </c>
      <c r="D75" s="13">
        <f>C75*(1+div_growth)</f>
        <v>665561.04575999989</v>
      </c>
      <c r="E75" s="13">
        <f>D75*(1+div_growth)</f>
        <v>671417.98296268785</v>
      </c>
      <c r="F75" s="13">
        <f>E75*(1+div_growth)</f>
        <v>677326.46121275949</v>
      </c>
      <c r="G75" s="13">
        <f>F75*(1+div_growth)</f>
        <v>683286.93407143175</v>
      </c>
      <c r="H75" s="13"/>
      <c r="I75" s="44"/>
    </row>
    <row r="76" spans="1:10" ht="15" hidden="1" outlineLevel="1">
      <c r="A76" s="12"/>
      <c r="C76" s="136"/>
      <c r="D76" s="20"/>
      <c r="E76" s="20"/>
      <c r="F76" s="20"/>
      <c r="G76" s="20"/>
      <c r="H76" s="20"/>
      <c r="I76" s="44"/>
    </row>
    <row r="77" spans="1:10" ht="18" hidden="1" customHeight="1" outlineLevel="1">
      <c r="A77" s="149" t="s">
        <v>364</v>
      </c>
      <c r="C77" s="13">
        <f>$B$19*'PF Model'!G205</f>
        <v>1505.124515288627</v>
      </c>
      <c r="D77" s="13">
        <f>$B$19*'PF Model'!H205</f>
        <v>1553.2623178044107</v>
      </c>
      <c r="E77" s="13">
        <f>$B$19*'PF Model'!I205</f>
        <v>1544.3909721212895</v>
      </c>
      <c r="F77" s="13">
        <f>$B$19*'PF Model'!J205</f>
        <v>1607.3819789031468</v>
      </c>
      <c r="G77" s="13">
        <f>$B$19*'PF Model'!K205</f>
        <v>1752.064996548306</v>
      </c>
      <c r="H77" s="13"/>
      <c r="I77" s="44"/>
    </row>
    <row r="78" spans="1:10" ht="18" hidden="1" customHeight="1" outlineLevel="1">
      <c r="A78" s="149" t="s">
        <v>371</v>
      </c>
      <c r="C78" s="13">
        <f>IF(ISBLANK($B$29),0,IF(C15-C13&lt;$B$29,0,MAX($B$29-C15+C13, -(C77+$B$79))))</f>
        <v>0</v>
      </c>
      <c r="D78" s="13">
        <f>IF(ISBLANK($B$29),0,IF(D15-D13&lt;$B$29,0,MAX($B$29-D15+D13, -(D77+$B$79))))</f>
        <v>0</v>
      </c>
      <c r="E78" s="13">
        <f>IF(ISBLANK($B$29),0,IF(E15-E13&lt;$B$29,0,MAX($B$29-E15+E13, -(E77+$B$79))))</f>
        <v>0</v>
      </c>
      <c r="F78" s="13">
        <f>IF(ISBLANK($B$29),0,IF(F15-F13&lt;$B$29,0,MAX($B$29-F15+F13, -(F77+$B$79))))</f>
        <v>0</v>
      </c>
      <c r="G78" s="13">
        <f>IF(ISBLANK($B$29),0,IF(G15-G13&lt;$B$29,0,MAX($B$29-G15+G13, -(G77+$B$79))))</f>
        <v>0</v>
      </c>
      <c r="H78" s="13"/>
      <c r="I78" s="44"/>
    </row>
    <row r="79" spans="1:10" ht="18" hidden="1" customHeight="1" outlineLevel="1">
      <c r="A79" s="10" t="s">
        <v>36</v>
      </c>
      <c r="B79" s="50">
        <f>-div_expenses</f>
        <v>-27</v>
      </c>
      <c r="I79" s="44"/>
    </row>
    <row r="80" spans="1:10" ht="18" hidden="1" customHeight="1" outlineLevel="1">
      <c r="A80" s="149" t="s">
        <v>365</v>
      </c>
      <c r="C80" s="15">
        <f>MAX(SUM(C77:C78)+$B$79,0)</f>
        <v>1478.124515288627</v>
      </c>
      <c r="D80" s="15">
        <f>MAX(SUM(D77:D78)+$B$79,0)</f>
        <v>1526.2623178044107</v>
      </c>
      <c r="E80" s="15">
        <f>MAX(SUM(E77:E78)+$B$79,0)</f>
        <v>1517.3909721212895</v>
      </c>
      <c r="F80" s="15">
        <f>MAX(SUM(F77:F78)+$B$79,0)</f>
        <v>1580.3819789031468</v>
      </c>
      <c r="G80" s="15">
        <f>MAX(SUM(G77:G78)+$B$79,0)</f>
        <v>1725.064996548306</v>
      </c>
      <c r="H80" s="15"/>
      <c r="I80" s="44"/>
    </row>
    <row r="81" spans="1:9" ht="18" hidden="1" customHeight="1" outlineLevel="1">
      <c r="A81" s="149" t="s">
        <v>37</v>
      </c>
      <c r="C81" s="38">
        <f>MIN(C80*1000000/C75, $B$30)</f>
        <v>2240.4135886896033</v>
      </c>
      <c r="D81" s="38">
        <f>MIN(D80*1000000/D75, $B$30)</f>
        <v>2293.1965858392173</v>
      </c>
      <c r="E81" s="38">
        <f>MIN(E80*1000000/E75, $B$30)</f>
        <v>2259.9796410362369</v>
      </c>
      <c r="F81" s="38">
        <f>MIN(F80*1000000/F75, $B$30)</f>
        <v>2333.2647835335679</v>
      </c>
      <c r="G81" s="38">
        <f>MIN(G80*1000000/G75, $B$30)</f>
        <v>2524.6567884290398</v>
      </c>
      <c r="H81" s="38"/>
      <c r="I81" s="44"/>
    </row>
    <row r="82" spans="1:9" ht="18" hidden="1" customHeight="1" outlineLevel="1">
      <c r="A82" s="149" t="s">
        <v>372</v>
      </c>
      <c r="C82" s="15">
        <f>C80-C81*C75/1000000</f>
        <v>0</v>
      </c>
      <c r="D82" s="15">
        <f>D80-D81*D75/1000000</f>
        <v>0</v>
      </c>
      <c r="E82" s="15">
        <f>E80-E81*E75/1000000</f>
        <v>0</v>
      </c>
      <c r="F82" s="15">
        <f>F80-F81*F75/1000000</f>
        <v>0</v>
      </c>
      <c r="G82" s="15">
        <f>G80-G81*G75/1000000</f>
        <v>0</v>
      </c>
    </row>
    <row r="83" spans="1:9" ht="18" customHeight="1" collapsed="1"/>
  </sheetData>
  <conditionalFormatting sqref="F26:F28 F21:F24 G20">
    <cfRule type="cellIs" dxfId="0" priority="1" operator="greaterThan">
      <formula>1</formula>
    </cfRule>
  </conditionalFormatting>
  <pageMargins left="0.7" right="0.56000000000000005" top="0.5" bottom="0.42" header="0.19" footer="0.13"/>
  <pageSetup scale="68" orientation="portrait" horizontalDpi="4294967293" verticalDpi="4294967293" r:id="rId1"/>
  <headerFooter>
    <oddHeader>&amp;L&amp;A Sheet&amp;C&amp;"-,Bold"&amp;16Alaska Economy Choices&amp;RPage &amp;P of &amp;N</oddHeader>
    <oddFooter>&amp;L&amp;Z&amp;F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6979" r:id="rId4" name="Check Box 3">
              <controlPr defaultSize="0" autoFill="0" autoLine="0" autoPict="0" altText=" Eliminate Inflation Proofing (not in bill)">
                <anchor moveWithCells="1">
                  <from>
                    <xdr:col>0</xdr:col>
                    <xdr:colOff>57150</xdr:colOff>
                    <xdr:row>24</xdr:row>
                    <xdr:rowOff>28575</xdr:rowOff>
                  </from>
                  <to>
                    <xdr:col>0</xdr:col>
                    <xdr:colOff>2495550</xdr:colOff>
                    <xdr:row>24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T43"/>
  <sheetViews>
    <sheetView showGridLines="0" topLeftCell="A10" zoomScaleNormal="100" workbookViewId="0">
      <selection activeCell="R12" sqref="R12"/>
    </sheetView>
  </sheetViews>
  <sheetFormatPr defaultColWidth="9.140625" defaultRowHeight="15"/>
  <cols>
    <col min="1" max="19" width="9.140625" style="149"/>
    <col min="20" max="20" width="10.5703125" style="149" bestFit="1" customWidth="1"/>
    <col min="21" max="16384" width="9.140625" style="149"/>
  </cols>
  <sheetData>
    <row r="1" spans="1:17" ht="23.25" hidden="1">
      <c r="A1" s="390" t="s">
        <v>363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</row>
    <row r="2" spans="1:17" ht="17.25" hidden="1">
      <c r="A2" s="55"/>
    </row>
    <row r="3" spans="1:17" ht="15.75" hidden="1">
      <c r="A3" s="40"/>
    </row>
    <row r="4" spans="1:17">
      <c r="A4" s="12" t="s">
        <v>150</v>
      </c>
    </row>
    <row r="5" spans="1:17" ht="20.25" customHeight="1">
      <c r="F5" s="36"/>
      <c r="G5" s="42" t="s">
        <v>0</v>
      </c>
      <c r="H5" s="43" t="s">
        <v>12</v>
      </c>
      <c r="I5" s="42" t="s">
        <v>13</v>
      </c>
      <c r="J5" s="43" t="s">
        <v>14</v>
      </c>
      <c r="K5" s="42" t="s">
        <v>15</v>
      </c>
      <c r="L5" s="43" t="s">
        <v>301</v>
      </c>
    </row>
    <row r="6" spans="1:17">
      <c r="F6" s="36" t="s">
        <v>101</v>
      </c>
      <c r="G6" s="83">
        <f>'SB 84'!B5</f>
        <v>46.81</v>
      </c>
      <c r="H6" s="83">
        <f>'SB 84'!C5</f>
        <v>54</v>
      </c>
      <c r="I6" s="83">
        <f>'SB 84'!D5</f>
        <v>60</v>
      </c>
      <c r="J6" s="83">
        <f>'SB 84'!E5</f>
        <v>63</v>
      </c>
      <c r="K6" s="83">
        <f>'SB 84'!F5</f>
        <v>67</v>
      </c>
      <c r="L6" s="83">
        <f>'SB 84'!G5</f>
        <v>71</v>
      </c>
    </row>
    <row r="7" spans="1:17">
      <c r="F7" s="36" t="s">
        <v>126</v>
      </c>
      <c r="G7" s="83"/>
      <c r="H7" s="83">
        <f>SUM('SB 84'!C44:C52)</f>
        <v>0</v>
      </c>
      <c r="I7" s="83">
        <f>SUM('SB 84'!D44:D52)</f>
        <v>0</v>
      </c>
      <c r="J7" s="83">
        <f>SUM('SB 84'!E44:E52)</f>
        <v>0</v>
      </c>
      <c r="K7" s="83">
        <f>SUM('SB 84'!F44:F52)</f>
        <v>0</v>
      </c>
      <c r="L7" s="83">
        <f>SUM('SB 84'!G44:G52)</f>
        <v>0</v>
      </c>
    </row>
    <row r="8" spans="1:17">
      <c r="F8" s="36"/>
      <c r="G8" s="41"/>
      <c r="H8" s="41"/>
      <c r="I8" s="41"/>
      <c r="J8" s="41"/>
      <c r="K8" s="41"/>
      <c r="L8" s="41"/>
    </row>
    <row r="19" spans="20:20">
      <c r="T19" s="13"/>
    </row>
    <row r="20" spans="20:20">
      <c r="T20" s="13"/>
    </row>
    <row r="43" spans="10:10" ht="15.75">
      <c r="J43" s="25"/>
    </row>
  </sheetData>
  <mergeCells count="1">
    <mergeCell ref="A1:Q1"/>
  </mergeCells>
  <pageMargins left="0.7" right="0.7" top="0.75" bottom="0.75" header="0.3" footer="0.3"/>
  <pageSetup scale="78" orientation="landscape" horizontalDpi="4294967293" verticalDpi="4294967293" r:id="rId1"/>
  <headerFooter>
    <oddHeader>&amp;L&amp;A&amp;C&amp;"-,Bold"&amp;14Alaska Economy Choices&amp;RPage &amp;P of &amp;N</oddHeader>
    <oddFooter>&amp;L&amp;Z&amp;F</oddFooter>
  </headerFooter>
  <colBreaks count="1" manualBreakCount="1">
    <brk id="8" max="104857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G18"/>
  <sheetViews>
    <sheetView workbookViewId="0">
      <selection activeCell="B25" sqref="B25"/>
    </sheetView>
  </sheetViews>
  <sheetFormatPr defaultRowHeight="15"/>
  <cols>
    <col min="1" max="1" width="24.28515625" customWidth="1"/>
    <col min="2" max="7" width="10.5703125" customWidth="1"/>
  </cols>
  <sheetData>
    <row r="1" spans="1:7" ht="18.75">
      <c r="A1" s="18" t="s">
        <v>354</v>
      </c>
    </row>
    <row r="2" spans="1:7" s="149" customFormat="1">
      <c r="A2" s="39" t="s">
        <v>357</v>
      </c>
    </row>
    <row r="3" spans="1:7" s="149" customFormat="1">
      <c r="A3" s="39"/>
    </row>
    <row r="4" spans="1:7">
      <c r="B4" s="14">
        <v>2017</v>
      </c>
      <c r="C4" s="14">
        <v>2018</v>
      </c>
      <c r="D4" s="14">
        <v>2019</v>
      </c>
      <c r="E4" s="14">
        <v>2020</v>
      </c>
      <c r="F4" s="14">
        <v>2021</v>
      </c>
      <c r="G4" s="14">
        <v>2022</v>
      </c>
    </row>
    <row r="5" spans="1:7">
      <c r="A5" t="s">
        <v>350</v>
      </c>
      <c r="B5" s="84">
        <v>592.1</v>
      </c>
      <c r="C5" s="84">
        <v>645.4</v>
      </c>
      <c r="D5" s="84">
        <v>702.2</v>
      </c>
      <c r="E5" s="84">
        <v>713.1</v>
      </c>
      <c r="F5" s="84">
        <v>729.1</v>
      </c>
      <c r="G5" s="84">
        <v>747</v>
      </c>
    </row>
    <row r="6" spans="1:7">
      <c r="A6" t="s">
        <v>351</v>
      </c>
      <c r="B6" s="84">
        <v>4.3</v>
      </c>
      <c r="C6" s="84">
        <v>4.3</v>
      </c>
      <c r="D6" s="84">
        <v>9</v>
      </c>
      <c r="E6" s="84">
        <v>27.3</v>
      </c>
      <c r="F6" s="84">
        <v>43.7</v>
      </c>
      <c r="G6" s="84">
        <v>39.5</v>
      </c>
    </row>
    <row r="7" spans="1:7">
      <c r="A7" t="s">
        <v>352</v>
      </c>
      <c r="B7" s="84">
        <v>271.60000000000002</v>
      </c>
      <c r="C7" s="84">
        <v>293.5</v>
      </c>
      <c r="D7" s="84">
        <v>322.3</v>
      </c>
      <c r="E7" s="84">
        <v>336.9</v>
      </c>
      <c r="F7" s="84">
        <v>351.2</v>
      </c>
      <c r="G7" s="84">
        <v>355.6</v>
      </c>
    </row>
    <row r="8" spans="1:7">
      <c r="A8" s="31" t="s">
        <v>353</v>
      </c>
      <c r="B8" s="183">
        <v>4.4000000000000004</v>
      </c>
      <c r="C8" s="183">
        <v>4.8</v>
      </c>
      <c r="D8" s="183">
        <v>5.2</v>
      </c>
      <c r="E8" s="183">
        <v>5.4</v>
      </c>
      <c r="F8" s="183">
        <v>5.5</v>
      </c>
      <c r="G8" s="183">
        <v>5.6</v>
      </c>
    </row>
    <row r="9" spans="1:7">
      <c r="A9" t="s">
        <v>355</v>
      </c>
      <c r="B9" s="84">
        <f>SUM(B5:B8)</f>
        <v>872.4</v>
      </c>
      <c r="C9" s="84">
        <f t="shared" ref="C9:G9" si="0">SUM(C5:C8)</f>
        <v>947.99999999999989</v>
      </c>
      <c r="D9" s="84">
        <f t="shared" si="0"/>
        <v>1038.7</v>
      </c>
      <c r="E9" s="84">
        <f t="shared" si="0"/>
        <v>1082.7</v>
      </c>
      <c r="F9" s="84">
        <f t="shared" si="0"/>
        <v>1129.5</v>
      </c>
      <c r="G9" s="84">
        <f t="shared" si="0"/>
        <v>1147.6999999999998</v>
      </c>
    </row>
    <row r="11" spans="1:7">
      <c r="A11" t="s">
        <v>356</v>
      </c>
      <c r="B11" s="20">
        <f>B5/B9</f>
        <v>0.67870243007794595</v>
      </c>
      <c r="C11" s="20">
        <f t="shared" ref="C11:G11" si="1">C5/C9</f>
        <v>0.68080168776371319</v>
      </c>
      <c r="D11" s="20">
        <f t="shared" si="1"/>
        <v>0.67603735438528934</v>
      </c>
      <c r="E11" s="20">
        <f t="shared" si="1"/>
        <v>0.65863119977833195</v>
      </c>
      <c r="F11" s="20">
        <f t="shared" si="1"/>
        <v>0.64550686144311642</v>
      </c>
      <c r="G11" s="20">
        <f t="shared" si="1"/>
        <v>0.65086695129389227</v>
      </c>
    </row>
    <row r="12" spans="1:7">
      <c r="B12" s="113"/>
      <c r="C12" s="113"/>
      <c r="D12" s="113"/>
      <c r="E12" s="113"/>
      <c r="F12" s="113"/>
      <c r="G12" s="113"/>
    </row>
    <row r="13" spans="1:7" ht="18.75">
      <c r="A13" s="18" t="s">
        <v>379</v>
      </c>
    </row>
    <row r="14" spans="1:7" s="149" customFormat="1" ht="18.75">
      <c r="A14" s="18"/>
    </row>
    <row r="15" spans="1:7" s="149" customFormat="1">
      <c r="A15" s="16" t="s">
        <v>382</v>
      </c>
      <c r="B15" s="14">
        <v>2017</v>
      </c>
      <c r="C15" s="14">
        <v>2018</v>
      </c>
      <c r="D15" s="14">
        <v>2019</v>
      </c>
      <c r="E15" s="14">
        <v>2020</v>
      </c>
      <c r="F15" s="14">
        <v>2021</v>
      </c>
      <c r="G15" s="14">
        <v>2022</v>
      </c>
    </row>
    <row r="16" spans="1:7">
      <c r="A16" t="s">
        <v>380</v>
      </c>
      <c r="B16" s="13">
        <v>1246</v>
      </c>
      <c r="C16" s="13">
        <v>1346</v>
      </c>
      <c r="D16" s="13">
        <v>1446</v>
      </c>
      <c r="E16" s="13">
        <v>1523</v>
      </c>
      <c r="F16" s="13">
        <v>1606</v>
      </c>
      <c r="G16" s="13">
        <v>1652</v>
      </c>
    </row>
    <row r="17" spans="1:7">
      <c r="A17" s="31" t="s">
        <v>381</v>
      </c>
      <c r="B17" s="188">
        <v>1446.8000000000002</v>
      </c>
      <c r="C17" s="188">
        <v>1624.1000000000001</v>
      </c>
      <c r="D17" s="188">
        <v>1872.6000000000001</v>
      </c>
      <c r="E17" s="188">
        <v>1906.7000000000003</v>
      </c>
      <c r="F17" s="188">
        <v>1943.5</v>
      </c>
      <c r="G17" s="188">
        <v>2012.4000000000003</v>
      </c>
    </row>
    <row r="18" spans="1:7">
      <c r="A18" s="16" t="s">
        <v>383</v>
      </c>
      <c r="B18" s="189">
        <f>B17-B16</f>
        <v>200.80000000000018</v>
      </c>
      <c r="C18" s="189">
        <f t="shared" ref="C18:G18" si="2">C17-C16</f>
        <v>278.10000000000014</v>
      </c>
      <c r="D18" s="189">
        <f t="shared" si="2"/>
        <v>426.60000000000014</v>
      </c>
      <c r="E18" s="189">
        <f t="shared" si="2"/>
        <v>383.70000000000027</v>
      </c>
      <c r="F18" s="189">
        <f t="shared" si="2"/>
        <v>337.5</v>
      </c>
      <c r="G18" s="189">
        <f t="shared" si="2"/>
        <v>360.40000000000032</v>
      </c>
    </row>
  </sheetData>
  <pageMargins left="0.7" right="0.7" top="0.75" bottom="0.75" header="0.3" footer="0.3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>
    <pageSetUpPr fitToPage="1"/>
  </sheetPr>
  <dimension ref="A1:N66"/>
  <sheetViews>
    <sheetView zoomScale="120" zoomScaleNormal="120" workbookViewId="0">
      <selection activeCell="A2" sqref="A2"/>
    </sheetView>
  </sheetViews>
  <sheetFormatPr defaultColWidth="9.140625" defaultRowHeight="18" customHeight="1" outlineLevelRow="1"/>
  <cols>
    <col min="1" max="1" width="50.28515625" style="149" customWidth="1"/>
    <col min="2" max="7" width="13.7109375" style="149" customWidth="1"/>
    <col min="8" max="8" width="1.42578125" style="149" customWidth="1"/>
    <col min="9" max="9" width="8" style="149" customWidth="1"/>
    <col min="10" max="10" width="12.28515625" style="149" customWidth="1"/>
    <col min="11" max="11" width="9.42578125" style="149" bestFit="1" customWidth="1"/>
    <col min="12" max="16384" width="9.140625" style="149"/>
  </cols>
  <sheetData>
    <row r="1" spans="1:9" ht="18" customHeight="1">
      <c r="A1" s="12" t="s">
        <v>150</v>
      </c>
    </row>
    <row r="2" spans="1:9" ht="18" customHeight="1">
      <c r="A2" s="133" t="s">
        <v>325</v>
      </c>
    </row>
    <row r="3" spans="1:9" ht="30">
      <c r="A3" s="132"/>
      <c r="B3" s="4" t="s">
        <v>4</v>
      </c>
      <c r="C3" s="4" t="s">
        <v>2</v>
      </c>
      <c r="D3" s="4" t="s">
        <v>3</v>
      </c>
      <c r="E3" s="4"/>
    </row>
    <row r="4" spans="1:9" ht="18" customHeight="1">
      <c r="B4" s="11" t="s">
        <v>107</v>
      </c>
      <c r="C4" s="11" t="s">
        <v>108</v>
      </c>
      <c r="D4" s="11" t="s">
        <v>109</v>
      </c>
      <c r="E4" s="11" t="s">
        <v>110</v>
      </c>
      <c r="F4" s="11" t="s">
        <v>111</v>
      </c>
      <c r="G4" s="11" t="s">
        <v>285</v>
      </c>
      <c r="H4" s="46"/>
      <c r="I4" s="3"/>
    </row>
    <row r="5" spans="1:9" ht="18" customHeight="1">
      <c r="A5" s="149" t="str">
        <f>'HB61'!A5</f>
        <v>Average Oil Price, Alaska North Slope, $/barrel</v>
      </c>
      <c r="B5" s="116">
        <f>'Common Inputs'!B11</f>
        <v>46.81</v>
      </c>
      <c r="C5" s="116">
        <f>'Common Inputs'!C11</f>
        <v>54</v>
      </c>
      <c r="D5" s="116">
        <f>'Common Inputs'!D11</f>
        <v>60</v>
      </c>
      <c r="E5" s="116">
        <f>'Common Inputs'!E11</f>
        <v>63</v>
      </c>
      <c r="F5" s="116">
        <f>'Common Inputs'!F11</f>
        <v>67</v>
      </c>
      <c r="G5" s="116">
        <f>'Common Inputs'!G11</f>
        <v>71</v>
      </c>
      <c r="H5" s="57"/>
      <c r="I5" s="115" t="s">
        <v>186</v>
      </c>
    </row>
    <row r="6" spans="1:9" ht="18" customHeight="1">
      <c r="A6" s="31" t="str">
        <f>'HB61'!A6</f>
        <v>Average Oil Production, thousand barrels/day</v>
      </c>
      <c r="B6" s="51">
        <f>'Common Inputs'!B12</f>
        <v>505.8</v>
      </c>
      <c r="C6" s="51">
        <f>'Common Inputs'!C12</f>
        <v>469.7</v>
      </c>
      <c r="D6" s="51">
        <f>'Common Inputs'!D12</f>
        <v>457.8</v>
      </c>
      <c r="E6" s="51">
        <f>'Common Inputs'!E12</f>
        <v>443.1</v>
      </c>
      <c r="F6" s="51">
        <f>'Common Inputs'!F12</f>
        <v>426.5</v>
      </c>
      <c r="G6" s="51">
        <f>'Common Inputs'!G12</f>
        <v>410</v>
      </c>
      <c r="H6" s="52"/>
      <c r="I6" s="115" t="s">
        <v>186</v>
      </c>
    </row>
    <row r="7" spans="1:9" ht="18" customHeight="1">
      <c r="A7" s="149" t="str">
        <f>'HB61'!A7</f>
        <v>Unrestricted Petroleum Royalties, $ mil.</v>
      </c>
      <c r="B7" s="6">
        <f>'HB61'!B7</f>
        <v>592.09999999999991</v>
      </c>
      <c r="C7" s="6">
        <f>'HB61'!C7</f>
        <v>645.39999999999986</v>
      </c>
      <c r="D7" s="6">
        <f>'HB61'!D7</f>
        <v>702.19999999999993</v>
      </c>
      <c r="E7" s="6">
        <f>'HB61'!E7</f>
        <v>713.09999999999991</v>
      </c>
      <c r="F7" s="6">
        <f>'HB61'!F7</f>
        <v>729.1</v>
      </c>
      <c r="G7" s="6">
        <f>'HB61'!G7</f>
        <v>747.00000000000011</v>
      </c>
      <c r="H7" s="6"/>
      <c r="I7" s="3"/>
    </row>
    <row r="8" spans="1:9" ht="18" customHeight="1">
      <c r="A8" s="149" t="str">
        <f>'HB61'!A8</f>
        <v>Other Unrestricted Petroleum Revenues, $ mil.</v>
      </c>
      <c r="B8" s="6">
        <f>'HB61'!B8</f>
        <v>374.9</v>
      </c>
      <c r="C8" s="6">
        <f>'HB61'!C8</f>
        <v>454.4</v>
      </c>
      <c r="D8" s="6">
        <f>'HB61'!D8</f>
        <v>641.90000000000009</v>
      </c>
      <c r="E8" s="6">
        <f>'HB61'!E8</f>
        <v>647.40000000000009</v>
      </c>
      <c r="F8" s="6">
        <f>'HB61'!F8</f>
        <v>649.09999999999991</v>
      </c>
      <c r="G8" s="6">
        <f>'HB61'!G8</f>
        <v>683.7</v>
      </c>
      <c r="H8" s="6"/>
      <c r="I8" s="3"/>
    </row>
    <row r="9" spans="1:9" ht="18" customHeight="1">
      <c r="A9" s="31" t="str">
        <f>'HB61'!A9</f>
        <v>Non-Petroleum + UGF Invest. Revenues, $ mil.</v>
      </c>
      <c r="B9" s="51">
        <f>'HB61'!B9</f>
        <v>479.8</v>
      </c>
      <c r="C9" s="51">
        <f>'HB61'!C9</f>
        <v>524.29999999999995</v>
      </c>
      <c r="D9" s="51">
        <f>'HB61'!D9</f>
        <v>528.5</v>
      </c>
      <c r="E9" s="51">
        <f>'HB61'!E9</f>
        <v>546.20000000000005</v>
      </c>
      <c r="F9" s="51">
        <f>'HB61'!F9</f>
        <v>565.29999999999995</v>
      </c>
      <c r="G9" s="51">
        <f>'HB61'!G9</f>
        <v>581.70000000000005</v>
      </c>
      <c r="H9" s="52"/>
      <c r="I9" s="3"/>
    </row>
    <row r="10" spans="1:9" s="16" customFormat="1" ht="18" customHeight="1">
      <c r="A10" s="178" t="str">
        <f>'HB61'!A10</f>
        <v>Total UGF Revenues, $ mil.</v>
      </c>
      <c r="B10" s="179">
        <f>SUM(B7:B9)</f>
        <v>1446.8</v>
      </c>
      <c r="C10" s="179">
        <f t="shared" ref="C10:G10" si="0">SUM(C7:C9)</f>
        <v>1624.0999999999997</v>
      </c>
      <c r="D10" s="179">
        <f t="shared" si="0"/>
        <v>1872.6</v>
      </c>
      <c r="E10" s="179">
        <f t="shared" si="0"/>
        <v>1906.7</v>
      </c>
      <c r="F10" s="179">
        <f t="shared" si="0"/>
        <v>1943.4999999999998</v>
      </c>
      <c r="G10" s="179">
        <f t="shared" si="0"/>
        <v>2012.4000000000003</v>
      </c>
      <c r="H10" s="125"/>
      <c r="I10" s="123"/>
    </row>
    <row r="11" spans="1:9" s="16" customFormat="1" ht="18" customHeight="1">
      <c r="A11" s="16" t="str">
        <f>'HB61'!A11</f>
        <v>UGF Operating Spending, execpt Oil Tax Credits, $ mil.</v>
      </c>
      <c r="B11" s="128">
        <f>'Common Inputs'!B24</f>
        <v>4246.8</v>
      </c>
      <c r="C11" s="128">
        <f>'Common Inputs'!C24</f>
        <v>4167.5</v>
      </c>
      <c r="D11" s="128">
        <f>'Common Inputs'!D24</f>
        <v>4150.2</v>
      </c>
      <c r="E11" s="128">
        <f>'Common Inputs'!E24</f>
        <v>4122.2</v>
      </c>
      <c r="F11" s="128">
        <f>'Common Inputs'!F24</f>
        <v>4217.5</v>
      </c>
      <c r="G11" s="128">
        <f>'Common Inputs'!G24</f>
        <v>4298.1000000000004</v>
      </c>
      <c r="H11" s="125"/>
      <c r="I11" s="115" t="s">
        <v>336</v>
      </c>
    </row>
    <row r="12" spans="1:9" s="16" customFormat="1" ht="18" customHeight="1">
      <c r="A12" s="16" t="str">
        <f>'HB61'!A12</f>
        <v>UGF Capital Spending</v>
      </c>
      <c r="B12" s="128">
        <f>'Common Inputs'!B26</f>
        <v>96.1</v>
      </c>
      <c r="C12" s="128">
        <f>'Common Inputs'!C26</f>
        <v>115.2</v>
      </c>
      <c r="D12" s="128">
        <f>'Common Inputs'!D26</f>
        <v>180</v>
      </c>
      <c r="E12" s="128">
        <f>'Common Inputs'!E26</f>
        <v>180</v>
      </c>
      <c r="F12" s="128">
        <f>'Common Inputs'!F26</f>
        <v>180</v>
      </c>
      <c r="G12" s="128">
        <f>'Common Inputs'!G26</f>
        <v>180</v>
      </c>
      <c r="H12" s="125"/>
      <c r="I12" s="115"/>
    </row>
    <row r="13" spans="1:9" s="16" customFormat="1" ht="18" customHeight="1">
      <c r="A13" s="175" t="str">
        <f>'HB61'!A13</f>
        <v>Oil Tax Credit Spending, $ mil.</v>
      </c>
      <c r="B13" s="128">
        <f>'Common Inputs'!B35</f>
        <v>30</v>
      </c>
      <c r="C13" s="128">
        <f>'Common Inputs'!C35</f>
        <v>961</v>
      </c>
      <c r="D13" s="128">
        <f>'Common Inputs'!D35</f>
        <v>223</v>
      </c>
      <c r="E13" s="128">
        <f>'Common Inputs'!E35</f>
        <v>192</v>
      </c>
      <c r="F13" s="128">
        <f>'Common Inputs'!F35</f>
        <v>151</v>
      </c>
      <c r="G13" s="128">
        <f>'Common Inputs'!G35</f>
        <v>150</v>
      </c>
      <c r="H13" s="117"/>
      <c r="I13" s="123"/>
    </row>
    <row r="14" spans="1:9" s="16" customFormat="1" ht="18" customHeight="1">
      <c r="A14" s="126" t="str">
        <f>'HB61'!A14</f>
        <v>Supplemental Spending, $ mil.</v>
      </c>
      <c r="B14" s="127">
        <f>'Common Inputs'!B25</f>
        <v>0</v>
      </c>
      <c r="C14" s="127">
        <f>'Common Inputs'!C25</f>
        <v>0</v>
      </c>
      <c r="D14" s="127">
        <f>'Common Inputs'!D25</f>
        <v>0</v>
      </c>
      <c r="E14" s="127">
        <f>'Common Inputs'!E25</f>
        <v>0</v>
      </c>
      <c r="F14" s="127">
        <f>'Common Inputs'!F25</f>
        <v>0</v>
      </c>
      <c r="G14" s="127">
        <f>'Common Inputs'!G25</f>
        <v>0</v>
      </c>
      <c r="H14" s="117"/>
      <c r="I14" s="123"/>
    </row>
    <row r="15" spans="1:9" s="16" customFormat="1" ht="18" customHeight="1">
      <c r="A15" s="175" t="str">
        <f>'HB61'!A15</f>
        <v>Total Spending, $ mil.</v>
      </c>
      <c r="B15" s="128">
        <f>SUM(B11:B14)</f>
        <v>4372.9000000000005</v>
      </c>
      <c r="C15" s="128">
        <f t="shared" ref="C15:G15" si="1">SUM(C11:C14)</f>
        <v>5243.7</v>
      </c>
      <c r="D15" s="128">
        <f t="shared" si="1"/>
        <v>4553.2</v>
      </c>
      <c r="E15" s="128">
        <f t="shared" si="1"/>
        <v>4494.2</v>
      </c>
      <c r="F15" s="128">
        <f t="shared" si="1"/>
        <v>4548.5</v>
      </c>
      <c r="G15" s="128">
        <f t="shared" si="1"/>
        <v>4628.1000000000004</v>
      </c>
      <c r="H15" s="117"/>
      <c r="I15" s="123"/>
    </row>
    <row r="16" spans="1:9" s="16" customFormat="1" ht="18" customHeight="1" thickBot="1">
      <c r="A16" s="184" t="str">
        <f>'HB61'!A16</f>
        <v>Fiscal Gap (negative is Gap), $ mil.</v>
      </c>
      <c r="B16" s="185">
        <f>B10-B15</f>
        <v>-2926.1000000000004</v>
      </c>
      <c r="C16" s="185">
        <f t="shared" ref="C16:G16" si="2">C10-C15</f>
        <v>-3619.6000000000004</v>
      </c>
      <c r="D16" s="185">
        <f t="shared" si="2"/>
        <v>-2680.6</v>
      </c>
      <c r="E16" s="185">
        <f t="shared" si="2"/>
        <v>-2587.5</v>
      </c>
      <c r="F16" s="185">
        <f t="shared" si="2"/>
        <v>-2605</v>
      </c>
      <c r="G16" s="185">
        <f t="shared" si="2"/>
        <v>-2615.6999999999998</v>
      </c>
      <c r="H16" s="125"/>
      <c r="I16" s="123"/>
    </row>
    <row r="17" spans="1:14" ht="18" customHeight="1" thickTop="1">
      <c r="A17" s="161" t="s">
        <v>310</v>
      </c>
      <c r="B17" s="155"/>
      <c r="C17" s="155"/>
      <c r="D17" s="155"/>
      <c r="E17" s="155"/>
      <c r="F17" s="155"/>
      <c r="G17" s="155"/>
      <c r="H17" s="156"/>
      <c r="I17" s="44"/>
    </row>
    <row r="18" spans="1:14" ht="6" customHeight="1">
      <c r="A18" s="76"/>
      <c r="B18" s="157"/>
      <c r="C18" s="157"/>
      <c r="D18" s="157"/>
      <c r="E18" s="157"/>
      <c r="F18" s="157"/>
      <c r="G18" s="157"/>
      <c r="H18" s="158"/>
      <c r="I18" s="44"/>
    </row>
    <row r="19" spans="1:14" ht="15">
      <c r="A19" s="143" t="s">
        <v>718</v>
      </c>
      <c r="B19" s="361">
        <v>0</v>
      </c>
      <c r="C19" s="236" t="s">
        <v>71</v>
      </c>
      <c r="D19" s="157"/>
      <c r="E19" s="157"/>
      <c r="F19" s="157"/>
      <c r="G19" s="157"/>
      <c r="H19" s="158"/>
      <c r="I19" s="44"/>
    </row>
    <row r="20" spans="1:14" ht="18" customHeight="1" thickBot="1">
      <c r="A20" s="76" t="str">
        <f>"Default FY18+ CBR Return is "&amp;TEXT(return_cbr, "0.00%")&amp;"."</f>
        <v>Default FY18+ CBR Return is 2.89%.</v>
      </c>
      <c r="B20" s="53"/>
      <c r="C20" s="5"/>
      <c r="D20" s="5"/>
      <c r="E20" s="5"/>
      <c r="F20" s="157"/>
      <c r="G20" s="157"/>
      <c r="H20" s="158"/>
      <c r="I20" s="44"/>
    </row>
    <row r="21" spans="1:14" ht="18" customHeight="1" thickBot="1">
      <c r="A21" s="76" t="s">
        <v>313</v>
      </c>
      <c r="B21" s="129"/>
      <c r="C21" s="162" t="s">
        <v>206</v>
      </c>
      <c r="D21" s="5"/>
      <c r="E21" s="157"/>
      <c r="F21" s="157"/>
      <c r="G21" s="157"/>
      <c r="H21" s="158"/>
      <c r="I21" s="44"/>
    </row>
    <row r="22" spans="1:14" ht="8.25" customHeight="1">
      <c r="A22" s="76"/>
      <c r="B22" s="157"/>
      <c r="C22" s="157"/>
      <c r="D22" s="157"/>
      <c r="E22" s="157"/>
      <c r="F22" s="157"/>
      <c r="G22" s="157"/>
      <c r="H22" s="158"/>
      <c r="I22" s="44"/>
    </row>
    <row r="23" spans="1:14" ht="8.25" customHeight="1" thickBot="1">
      <c r="A23" s="80"/>
      <c r="B23" s="159"/>
      <c r="C23" s="159"/>
      <c r="D23" s="159"/>
      <c r="E23" s="159"/>
      <c r="F23" s="159"/>
      <c r="G23" s="159"/>
      <c r="H23" s="160"/>
      <c r="I23" s="44"/>
    </row>
    <row r="24" spans="1:14" ht="18" customHeight="1" thickTop="1">
      <c r="A24" s="73" t="s">
        <v>5</v>
      </c>
      <c r="B24" s="318" t="s">
        <v>721</v>
      </c>
      <c r="C24" s="318" t="s">
        <v>551</v>
      </c>
      <c r="D24" s="318" t="s">
        <v>552</v>
      </c>
      <c r="E24" s="318" t="s">
        <v>553</v>
      </c>
      <c r="F24" s="318" t="s">
        <v>554</v>
      </c>
      <c r="G24" s="318" t="s">
        <v>555</v>
      </c>
      <c r="H24" s="74"/>
      <c r="I24" s="3"/>
    </row>
    <row r="25" spans="1:14" ht="18" customHeight="1" thickBot="1">
      <c r="A25" s="186" t="s">
        <v>720</v>
      </c>
      <c r="B25" s="362">
        <f>B19</f>
        <v>0</v>
      </c>
      <c r="C25" s="362"/>
      <c r="D25" s="362"/>
      <c r="E25" s="362"/>
      <c r="F25" s="362"/>
      <c r="G25" s="362"/>
      <c r="H25" s="173"/>
      <c r="I25" s="3"/>
    </row>
    <row r="26" spans="1:14" ht="18" customHeight="1" thickTop="1">
      <c r="A26" s="135" t="s">
        <v>204</v>
      </c>
      <c r="B26" s="37"/>
      <c r="C26" s="37"/>
      <c r="D26" s="37"/>
      <c r="E26" s="37"/>
      <c r="F26" s="37"/>
      <c r="G26" s="37"/>
      <c r="H26" s="75"/>
    </row>
    <row r="27" spans="1:14" ht="18" customHeight="1">
      <c r="A27" s="77"/>
      <c r="B27" s="37"/>
      <c r="C27" s="37"/>
      <c r="D27" s="37"/>
      <c r="E27" s="37"/>
      <c r="F27" s="37"/>
      <c r="G27" s="37"/>
      <c r="H27" s="78"/>
      <c r="J27" s="37"/>
      <c r="K27" s="37"/>
      <c r="L27" s="37"/>
      <c r="M27" s="37"/>
      <c r="N27" s="37"/>
    </row>
    <row r="28" spans="1:14" ht="18" customHeight="1">
      <c r="A28" s="77" t="s">
        <v>390</v>
      </c>
      <c r="B28" s="37"/>
      <c r="C28" s="37">
        <f>$B$11*(1-0.9)</f>
        <v>424.67999999999995</v>
      </c>
      <c r="D28" s="37">
        <f>$B$11*(1-0.9*0.95)</f>
        <v>615.78600000000006</v>
      </c>
      <c r="E28" s="37">
        <f>$B$11*(1-0.9*0.95^2)</f>
        <v>797.33669999999995</v>
      </c>
      <c r="F28" s="37">
        <f>$B$11*(1-0.9*0.95^3)</f>
        <v>969.80986500000063</v>
      </c>
      <c r="G28" s="37">
        <f>$B$11*(1-0.9*0.95^4)</f>
        <v>1133.65937175</v>
      </c>
      <c r="H28" s="78"/>
      <c r="J28" s="37"/>
      <c r="K28" s="37"/>
      <c r="L28" s="37"/>
      <c r="M28" s="37"/>
      <c r="N28" s="37"/>
    </row>
    <row r="29" spans="1:14" ht="18" customHeight="1">
      <c r="A29" s="77"/>
      <c r="B29" s="37"/>
      <c r="C29" s="37"/>
      <c r="D29" s="37"/>
      <c r="E29" s="37"/>
      <c r="F29" s="37"/>
      <c r="G29" s="37"/>
      <c r="H29" s="78"/>
    </row>
    <row r="30" spans="1:14" ht="18" customHeight="1">
      <c r="A30" s="77"/>
      <c r="B30" s="37"/>
      <c r="C30" s="37"/>
      <c r="D30" s="37"/>
      <c r="E30" s="37"/>
      <c r="F30" s="37"/>
      <c r="G30" s="37"/>
      <c r="H30" s="78"/>
    </row>
    <row r="31" spans="1:14" ht="18" customHeight="1">
      <c r="A31" s="77"/>
      <c r="B31" s="37"/>
      <c r="C31" s="37"/>
      <c r="D31" s="37"/>
      <c r="E31" s="37"/>
      <c r="F31" s="37"/>
      <c r="G31" s="37"/>
      <c r="H31" s="78"/>
      <c r="J31" s="37"/>
      <c r="K31" s="37"/>
      <c r="L31" s="37"/>
      <c r="M31" s="37"/>
      <c r="N31" s="37"/>
    </row>
    <row r="32" spans="1:14" ht="18" customHeight="1">
      <c r="A32" s="77"/>
      <c r="B32" s="37"/>
      <c r="C32" s="37"/>
      <c r="D32" s="37"/>
      <c r="E32" s="37"/>
      <c r="F32" s="37"/>
      <c r="G32" s="37"/>
      <c r="H32" s="78"/>
      <c r="J32" s="37"/>
      <c r="K32" s="37"/>
      <c r="L32" s="37"/>
      <c r="M32" s="37"/>
      <c r="N32" s="37"/>
    </row>
    <row r="33" spans="1:10" ht="18" customHeight="1">
      <c r="A33" s="77"/>
      <c r="B33" s="37"/>
      <c r="C33" s="137"/>
      <c r="D33" s="137"/>
      <c r="E33" s="137"/>
      <c r="F33" s="137"/>
      <c r="G33" s="137"/>
      <c r="H33" s="78"/>
    </row>
    <row r="34" spans="1:10" ht="18" customHeight="1">
      <c r="A34" s="77"/>
      <c r="B34" s="37"/>
      <c r="C34" s="137"/>
      <c r="D34" s="137"/>
      <c r="E34" s="137"/>
      <c r="F34" s="137"/>
      <c r="G34" s="137"/>
      <c r="H34" s="78"/>
    </row>
    <row r="35" spans="1:10" ht="18" customHeight="1">
      <c r="A35" s="77"/>
      <c r="B35" s="37"/>
      <c r="C35" s="37"/>
      <c r="D35" s="37"/>
      <c r="E35" s="37"/>
      <c r="F35" s="37"/>
      <c r="G35" s="37"/>
      <c r="H35" s="78"/>
    </row>
    <row r="36" spans="1:10" ht="18" customHeight="1">
      <c r="A36" s="76"/>
      <c r="B36" s="58"/>
      <c r="C36" s="58"/>
      <c r="D36" s="58"/>
      <c r="E36" s="58"/>
      <c r="F36" s="58"/>
      <c r="G36" s="58"/>
      <c r="H36" s="79"/>
      <c r="I36" s="5"/>
      <c r="J36" s="29"/>
    </row>
    <row r="37" spans="1:10" ht="18" customHeight="1" thickBot="1">
      <c r="A37" s="80" t="s">
        <v>1</v>
      </c>
      <c r="B37" s="81">
        <f>SUM(B24:B36)</f>
        <v>0</v>
      </c>
      <c r="C37" s="81">
        <f t="shared" ref="C37:G37" si="3">SUM(C24:C36)</f>
        <v>424.67999999999995</v>
      </c>
      <c r="D37" s="81">
        <f t="shared" si="3"/>
        <v>615.78600000000006</v>
      </c>
      <c r="E37" s="81">
        <f t="shared" si="3"/>
        <v>797.33669999999995</v>
      </c>
      <c r="F37" s="81">
        <f t="shared" si="3"/>
        <v>969.80986500000063</v>
      </c>
      <c r="G37" s="81">
        <f t="shared" si="3"/>
        <v>1133.65937175</v>
      </c>
      <c r="H37" s="82"/>
    </row>
    <row r="38" spans="1:10" ht="18" customHeight="1" thickTop="1">
      <c r="A38" s="149" t="s">
        <v>189</v>
      </c>
      <c r="B38" s="1">
        <f t="shared" ref="B38:G38" si="4">B16+B37</f>
        <v>-2926.1000000000004</v>
      </c>
      <c r="C38" s="1">
        <f t="shared" si="4"/>
        <v>-3194.9200000000005</v>
      </c>
      <c r="D38" s="1">
        <f t="shared" si="4"/>
        <v>-2064.8139999999999</v>
      </c>
      <c r="E38" s="1">
        <f t="shared" si="4"/>
        <v>-1790.1633000000002</v>
      </c>
      <c r="F38" s="1">
        <f t="shared" si="4"/>
        <v>-1635.1901349999994</v>
      </c>
      <c r="G38" s="1">
        <f t="shared" si="4"/>
        <v>-1482.0406282499998</v>
      </c>
      <c r="H38" s="1"/>
    </row>
    <row r="39" spans="1:10" ht="15">
      <c r="B39" s="1"/>
      <c r="C39" s="20">
        <f>C37/-C16</f>
        <v>0.11732788153387112</v>
      </c>
      <c r="D39" s="20">
        <f>D37/-D16</f>
        <v>0.22971946579124081</v>
      </c>
      <c r="E39" s="20">
        <f>E37/-E16</f>
        <v>0.30814944927536231</v>
      </c>
      <c r="F39" s="20">
        <f>F37/-F16</f>
        <v>0.37228785604606551</v>
      </c>
      <c r="G39" s="20">
        <f>G37/-G16</f>
        <v>0.43340573144856065</v>
      </c>
      <c r="H39" s="1"/>
    </row>
    <row r="40" spans="1:10" ht="8.25" customHeight="1">
      <c r="F40" s="6"/>
      <c r="G40" s="6"/>
      <c r="H40" s="1"/>
    </row>
    <row r="41" spans="1:10" ht="15" hidden="1" outlineLevel="1">
      <c r="A41" s="33" t="s">
        <v>118</v>
      </c>
      <c r="B41" s="62">
        <f>cbr_end_fy16_adj</f>
        <v>8647.8000000000011</v>
      </c>
      <c r="C41" s="69">
        <f>B47</f>
        <v>6171.7926000000007</v>
      </c>
      <c r="D41" s="69">
        <f t="shared" ref="D41:G41" si="5">C47</f>
        <v>3210.5158121400004</v>
      </c>
      <c r="E41" s="69">
        <f t="shared" si="5"/>
        <v>1310.0941568108465</v>
      </c>
      <c r="F41" s="69">
        <f t="shared" si="5"/>
        <v>0</v>
      </c>
      <c r="G41" s="69">
        <f t="shared" si="5"/>
        <v>0</v>
      </c>
      <c r="H41" s="23"/>
      <c r="I41" s="44"/>
    </row>
    <row r="42" spans="1:10" ht="15" hidden="1" outlineLevel="1">
      <c r="A42" s="33" t="s">
        <v>208</v>
      </c>
      <c r="B42" s="62">
        <f>'Common Inputs'!B76</f>
        <v>350</v>
      </c>
      <c r="C42" s="62">
        <f>'Common Inputs'!C76</f>
        <v>100</v>
      </c>
      <c r="D42" s="62">
        <f>'Common Inputs'!D76</f>
        <v>100</v>
      </c>
      <c r="E42" s="62">
        <f>'Common Inputs'!E76</f>
        <v>100</v>
      </c>
      <c r="F42" s="62">
        <f>'Common Inputs'!F76</f>
        <v>100</v>
      </c>
      <c r="G42" s="62">
        <f>'Common Inputs'!G76</f>
        <v>100</v>
      </c>
      <c r="H42" s="23"/>
      <c r="I42" s="44"/>
    </row>
    <row r="43" spans="1:10" ht="15" hidden="1" outlineLevel="1">
      <c r="A43" s="33" t="s">
        <v>194</v>
      </c>
      <c r="B43" s="62">
        <f>(B41+0.5*(B42+B38))*return_cbr_fy17</f>
        <v>100.0926</v>
      </c>
      <c r="C43" s="1">
        <f>MAX(0,(C41+0.5*(C38+C42))*IF(ISBLANK($B$21),return_cbr,$B$21))</f>
        <v>133.64321214</v>
      </c>
      <c r="D43" s="1">
        <f>MAX(0,(D41+0.5*(D38+D42))*IF(ISBLANK($B$21),return_cbr,$B$21))</f>
        <v>64.392344670846015</v>
      </c>
      <c r="E43" s="1">
        <f>MAX(0,(E41+0.5*(E38+E42))*IF(ISBLANK($B$21),return_cbr,$B$21))</f>
        <v>13.43886144683346</v>
      </c>
      <c r="F43" s="1">
        <f>MAX(0,(F41+0.5*(F38+F42))*IF(ISBLANK($B$21),return_cbr,$B$21))</f>
        <v>0</v>
      </c>
      <c r="G43" s="1">
        <f>MAX(0,(G41+0.5*(G38+G42))*IF(ISBLANK($B$21),return_cbr,$B$21))</f>
        <v>0</v>
      </c>
      <c r="H43" s="23"/>
      <c r="I43" s="44"/>
    </row>
    <row r="44" spans="1:10" ht="18" customHeight="1" collapsed="1">
      <c r="A44" s="149" t="s">
        <v>44</v>
      </c>
      <c r="B44" s="1">
        <f t="shared" ref="B44:G44" si="6">MIN(-B38,SUM(B41:B43))</f>
        <v>2926.1000000000004</v>
      </c>
      <c r="C44" s="1">
        <f t="shared" si="6"/>
        <v>3194.9200000000005</v>
      </c>
      <c r="D44" s="1">
        <f t="shared" si="6"/>
        <v>2064.8139999999999</v>
      </c>
      <c r="E44" s="1">
        <f t="shared" si="6"/>
        <v>1423.5330182576799</v>
      </c>
      <c r="F44" s="1">
        <f t="shared" si="6"/>
        <v>100</v>
      </c>
      <c r="G44" s="1">
        <f t="shared" si="6"/>
        <v>100</v>
      </c>
      <c r="H44" s="1"/>
    </row>
    <row r="45" spans="1:10" ht="18" customHeight="1">
      <c r="A45" s="149" t="s">
        <v>45</v>
      </c>
      <c r="B45" s="7">
        <f t="shared" ref="B45:G45" si="7">-B38-B44</f>
        <v>0</v>
      </c>
      <c r="C45" s="7">
        <f t="shared" si="7"/>
        <v>0</v>
      </c>
      <c r="D45" s="7">
        <f t="shared" si="7"/>
        <v>0</v>
      </c>
      <c r="E45" s="7">
        <f t="shared" si="7"/>
        <v>366.63028174232022</v>
      </c>
      <c r="F45" s="7">
        <f t="shared" si="7"/>
        <v>1535.1901349999994</v>
      </c>
      <c r="G45" s="7">
        <f t="shared" si="7"/>
        <v>1382.0406282499998</v>
      </c>
      <c r="H45" s="7"/>
    </row>
    <row r="46" spans="1:10" ht="6" customHeight="1">
      <c r="B46" s="7"/>
      <c r="C46" s="7"/>
      <c r="D46" s="7"/>
      <c r="E46" s="7"/>
      <c r="F46" s="7"/>
      <c r="G46" s="7"/>
      <c r="H46" s="7"/>
    </row>
    <row r="47" spans="1:10" ht="18" customHeight="1">
      <c r="A47" s="71" t="s">
        <v>97</v>
      </c>
      <c r="B47" s="72">
        <f t="shared" ref="B47:G47" si="8">SUM(B41:B43)-B44</f>
        <v>6171.7926000000007</v>
      </c>
      <c r="C47" s="72">
        <f t="shared" si="8"/>
        <v>3210.5158121400004</v>
      </c>
      <c r="D47" s="72">
        <f t="shared" si="8"/>
        <v>1310.0941568108465</v>
      </c>
      <c r="E47" s="72">
        <f t="shared" si="8"/>
        <v>0</v>
      </c>
      <c r="F47" s="72">
        <f t="shared" si="8"/>
        <v>0</v>
      </c>
      <c r="G47" s="72">
        <f t="shared" si="8"/>
        <v>0</v>
      </c>
      <c r="H47" s="29"/>
    </row>
    <row r="48" spans="1:10" ht="18" customHeight="1">
      <c r="A48" s="71" t="s">
        <v>98</v>
      </c>
      <c r="B48" s="72">
        <f>'HB61'!B90</f>
        <v>6171.7926000000007</v>
      </c>
      <c r="C48" s="72">
        <f>'HB61'!C90</f>
        <v>2779.6991861400002</v>
      </c>
      <c r="D48" s="72">
        <f>'HB61'!D90</f>
        <v>242.14282261944618</v>
      </c>
      <c r="E48" s="72">
        <f>'HB61'!E90</f>
        <v>0</v>
      </c>
      <c r="F48" s="72">
        <f>'HB61'!F90</f>
        <v>0</v>
      </c>
      <c r="G48" s="72">
        <f>'HB61'!G90</f>
        <v>0</v>
      </c>
      <c r="H48" s="29"/>
    </row>
    <row r="49" spans="1:10" ht="15">
      <c r="A49" s="33"/>
      <c r="B49" s="29"/>
      <c r="C49" s="23"/>
      <c r="D49" s="23"/>
      <c r="E49" s="23"/>
      <c r="F49" s="23"/>
      <c r="G49" s="23"/>
      <c r="H49" s="23"/>
    </row>
    <row r="50" spans="1:10" ht="18" customHeight="1">
      <c r="A50" s="71" t="s">
        <v>30</v>
      </c>
      <c r="B50" s="72">
        <f>'PF Model'!G228</f>
        <v>56484.371347073997</v>
      </c>
      <c r="C50" s="72">
        <f>'PF Model'!H228</f>
        <v>59057.187646130886</v>
      </c>
      <c r="D50" s="72">
        <f>'PF Model'!I228</f>
        <v>61786.298702676024</v>
      </c>
      <c r="E50" s="72">
        <f>'PF Model'!J228</f>
        <v>64348.681398470733</v>
      </c>
      <c r="F50" s="72">
        <f>'PF Model'!K228</f>
        <v>65848.366599990346</v>
      </c>
      <c r="G50" s="72">
        <f>'PF Model'!L228</f>
        <v>67430.187965384612</v>
      </c>
      <c r="H50" s="29"/>
      <c r="I50" s="113">
        <f>(G50/D50)^(1/3)-1</f>
        <v>2.9565695110461476E-2</v>
      </c>
      <c r="J50" s="149" t="s">
        <v>439</v>
      </c>
    </row>
    <row r="51" spans="1:10" ht="18" customHeight="1">
      <c r="A51" s="71" t="s">
        <v>28</v>
      </c>
      <c r="B51" s="72">
        <f>'PF Model'!G28</f>
        <v>56484.371347073997</v>
      </c>
      <c r="C51" s="72">
        <f>'PF Model'!H28</f>
        <v>59057.187646130886</v>
      </c>
      <c r="D51" s="72">
        <f>'PF Model'!I28</f>
        <v>61786.298702676024</v>
      </c>
      <c r="E51" s="72">
        <f>'PF Model'!J28</f>
        <v>62469.954502832501</v>
      </c>
      <c r="F51" s="72">
        <f>'PF Model'!K28</f>
        <v>62869.258320105262</v>
      </c>
      <c r="G51" s="72">
        <f>'PF Model'!L28</f>
        <v>63122.681706917727</v>
      </c>
      <c r="H51" s="29"/>
    </row>
    <row r="52" spans="1:10" ht="8.25" customHeight="1">
      <c r="D52" s="1"/>
      <c r="E52" s="1"/>
      <c r="F52" s="1"/>
      <c r="G52" s="1"/>
      <c r="H52" s="1"/>
    </row>
    <row r="53" spans="1:10" ht="18" customHeight="1">
      <c r="A53" s="71" t="s">
        <v>31</v>
      </c>
      <c r="B53" s="72">
        <f>'PF Model'!G245</f>
        <v>11670.469051503305</v>
      </c>
      <c r="C53" s="72">
        <f>'PF Model'!H245</f>
        <v>12805.67558057932</v>
      </c>
      <c r="D53" s="72">
        <f>'PF Model'!I245</f>
        <v>14036.041598276737</v>
      </c>
      <c r="E53" s="72">
        <f>'PF Model'!J245</f>
        <v>15019.131316795934</v>
      </c>
      <c r="F53" s="72">
        <f>'PF Model'!K245</f>
        <v>14762.344312229778</v>
      </c>
      <c r="G53" s="72">
        <f>'PF Model'!L245</f>
        <v>14542.169647035398</v>
      </c>
      <c r="H53" s="29"/>
      <c r="I53" s="113">
        <f>(G53/D53)^(1/3)-1</f>
        <v>1.1878076918810709E-2</v>
      </c>
      <c r="J53" s="149" t="s">
        <v>440</v>
      </c>
    </row>
    <row r="54" spans="1:10" ht="18" customHeight="1">
      <c r="A54" s="71" t="s">
        <v>29</v>
      </c>
      <c r="B54" s="72">
        <f>'PF Model'!G45</f>
        <v>11670.469051503305</v>
      </c>
      <c r="C54" s="72">
        <f>'PF Model'!H45</f>
        <v>12805.67558057932</v>
      </c>
      <c r="D54" s="72">
        <f>'PF Model'!I45</f>
        <v>14036.041598276737</v>
      </c>
      <c r="E54" s="72">
        <f>'PF Model'!J45</f>
        <v>12940.780384446334</v>
      </c>
      <c r="F54" s="72">
        <f>'PF Model'!K45</f>
        <v>11455.729270845331</v>
      </c>
      <c r="G54" s="72">
        <f>'PF Model'!L45</f>
        <v>9740.3733945314652</v>
      </c>
      <c r="H54" s="29"/>
    </row>
    <row r="55" spans="1:10" ht="9" customHeight="1"/>
    <row r="56" spans="1:10" ht="18" customHeight="1">
      <c r="C56" s="30">
        <v>43009</v>
      </c>
      <c r="D56" s="30">
        <v>43374</v>
      </c>
      <c r="E56" s="30">
        <v>43739</v>
      </c>
      <c r="F56" s="30">
        <v>44105</v>
      </c>
      <c r="G56" s="30">
        <v>44470</v>
      </c>
      <c r="H56" s="59"/>
    </row>
    <row r="57" spans="1:10" ht="18" customHeight="1">
      <c r="A57" s="71" t="s">
        <v>324</v>
      </c>
      <c r="B57" s="72"/>
      <c r="C57" s="72">
        <f>C65</f>
        <v>2240.4135886896033</v>
      </c>
      <c r="D57" s="72">
        <f t="shared" ref="D57:G57" si="9">D65</f>
        <v>2293.4589332172404</v>
      </c>
      <c r="E57" s="72">
        <f t="shared" si="9"/>
        <v>2275.760482349207</v>
      </c>
      <c r="F57" s="72">
        <f t="shared" si="9"/>
        <v>2380.838917196153</v>
      </c>
      <c r="G57" s="72">
        <f t="shared" si="9"/>
        <v>2617.0325202952199</v>
      </c>
      <c r="H57" s="29"/>
    </row>
    <row r="58" spans="1:10" ht="18" customHeight="1">
      <c r="A58" s="71" t="s">
        <v>34</v>
      </c>
      <c r="B58" s="72"/>
      <c r="C58" s="72">
        <f>'HB61'!C108</f>
        <v>2240.4135886896033</v>
      </c>
      <c r="D58" s="72">
        <f>'HB61'!D108</f>
        <v>2293.4589332172404</v>
      </c>
      <c r="E58" s="72">
        <f>'HB61'!E108</f>
        <v>2275.760482349207</v>
      </c>
      <c r="F58" s="72">
        <f>'HB61'!F108</f>
        <v>2380.838917196153</v>
      </c>
      <c r="G58" s="72">
        <f>'HB61'!G108</f>
        <v>2599.0175137051265</v>
      </c>
      <c r="H58" s="29"/>
    </row>
    <row r="59" spans="1:10" ht="18" customHeight="1">
      <c r="A59" s="22"/>
      <c r="B59" s="37"/>
      <c r="C59" s="38"/>
      <c r="D59" s="38"/>
      <c r="E59" s="38"/>
      <c r="F59" s="38"/>
      <c r="G59" s="38"/>
      <c r="H59" s="38"/>
    </row>
    <row r="60" spans="1:10" ht="18" hidden="1" customHeight="1" outlineLevel="1">
      <c r="A60" s="149" t="s">
        <v>19</v>
      </c>
      <c r="B60" s="13">
        <f>init_pfd_recips</f>
        <v>654000</v>
      </c>
      <c r="C60" s="13">
        <f>B60*(1+div_growth)</f>
        <v>659755.19999999995</v>
      </c>
      <c r="D60" s="13">
        <f>C60*(1+div_growth)</f>
        <v>665561.04575999989</v>
      </c>
      <c r="E60" s="13">
        <f>D60*(1+div_growth)</f>
        <v>671417.98296268785</v>
      </c>
      <c r="F60" s="13">
        <f>E60*(1+div_growth)</f>
        <v>677326.46121275949</v>
      </c>
      <c r="G60" s="13">
        <f>F60*(1+div_growth)</f>
        <v>683286.93407143175</v>
      </c>
      <c r="H60" s="13"/>
      <c r="I60" s="44"/>
    </row>
    <row r="61" spans="1:10" ht="15" hidden="1" outlineLevel="1">
      <c r="A61" s="12"/>
      <c r="C61" s="136"/>
      <c r="D61" s="20"/>
      <c r="E61" s="20"/>
      <c r="F61" s="20"/>
      <c r="G61" s="20"/>
      <c r="H61" s="20"/>
      <c r="I61" s="44"/>
    </row>
    <row r="62" spans="1:10" ht="18" hidden="1" customHeight="1" outlineLevel="1">
      <c r="A62" s="149" t="s">
        <v>229</v>
      </c>
      <c r="C62" s="13">
        <f>-'PF Model'!H225</f>
        <v>1505.124515288627</v>
      </c>
      <c r="D62" s="13">
        <f>-'PF Model'!I225</f>
        <v>1553.4369259996802</v>
      </c>
      <c r="E62" s="13">
        <f>-'PF Model'!J225</f>
        <v>1554.986512765098</v>
      </c>
      <c r="F62" s="13">
        <f>-'PF Model'!K225</f>
        <v>1639.6051985020883</v>
      </c>
      <c r="G62" s="13">
        <f>-'PF Model'!L225</f>
        <v>1815.1841271577528</v>
      </c>
      <c r="H62" s="13"/>
      <c r="I62" s="44"/>
    </row>
    <row r="63" spans="1:10" ht="18" hidden="1" customHeight="1" outlineLevel="1">
      <c r="A63" s="10" t="s">
        <v>36</v>
      </c>
      <c r="B63" s="50">
        <f>div_expenses</f>
        <v>27</v>
      </c>
      <c r="I63" s="44"/>
    </row>
    <row r="64" spans="1:10" ht="18" hidden="1" customHeight="1" outlineLevel="1">
      <c r="A64" s="149" t="s">
        <v>230</v>
      </c>
      <c r="C64" s="15">
        <f>C62-div_expenses</f>
        <v>1478.124515288627</v>
      </c>
      <c r="D64" s="15">
        <f>D62-div_expenses</f>
        <v>1526.4369259996802</v>
      </c>
      <c r="E64" s="15">
        <f>E62-div_expenses</f>
        <v>1527.986512765098</v>
      </c>
      <c r="F64" s="15">
        <f>F62-div_expenses</f>
        <v>1612.6051985020883</v>
      </c>
      <c r="G64" s="15">
        <f>G62-div_expenses</f>
        <v>1788.1841271577528</v>
      </c>
      <c r="H64" s="15"/>
      <c r="I64" s="44"/>
    </row>
    <row r="65" spans="1:9" ht="18" hidden="1" customHeight="1" outlineLevel="1">
      <c r="A65" s="149" t="s">
        <v>37</v>
      </c>
      <c r="C65" s="38">
        <f>C64*1000000/C60</f>
        <v>2240.4135886896033</v>
      </c>
      <c r="D65" s="38">
        <f>D64*1000000/D60</f>
        <v>2293.4589332172404</v>
      </c>
      <c r="E65" s="38">
        <f>E64*1000000/E60</f>
        <v>2275.760482349207</v>
      </c>
      <c r="F65" s="38">
        <f>F64*1000000/F60</f>
        <v>2380.838917196153</v>
      </c>
      <c r="G65" s="38">
        <f>G64*1000000/G60</f>
        <v>2617.0325202952199</v>
      </c>
      <c r="H65" s="38"/>
      <c r="I65" s="44"/>
    </row>
    <row r="66" spans="1:9" ht="18" customHeight="1" collapsed="1"/>
  </sheetData>
  <pageMargins left="0.7" right="0.56000000000000005" top="0.5" bottom="0.42" header="0.19" footer="0.13"/>
  <pageSetup scale="46" orientation="portrait" r:id="rId1"/>
  <headerFooter>
    <oddHeader>&amp;L&amp;A Sheet&amp;C&amp;"-,Bold"&amp;16Alaska Economy Choices&amp;RPage &amp;P of &amp;N</oddHeader>
    <oddFooter>&amp;L&amp;Z&amp;F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T43"/>
  <sheetViews>
    <sheetView showGridLines="0" topLeftCell="A10" zoomScaleNormal="100" workbookViewId="0">
      <selection activeCell="G6" sqref="G6"/>
    </sheetView>
  </sheetViews>
  <sheetFormatPr defaultRowHeight="15"/>
  <cols>
    <col min="20" max="20" width="10.5703125" bestFit="1" customWidth="1"/>
  </cols>
  <sheetData>
    <row r="1" spans="1:17" ht="23.25" hidden="1">
      <c r="A1" s="390"/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</row>
    <row r="2" spans="1:17" ht="17.25" hidden="1">
      <c r="A2" s="55"/>
    </row>
    <row r="3" spans="1:17" ht="15.75" hidden="1">
      <c r="A3" s="40"/>
    </row>
    <row r="4" spans="1:17">
      <c r="A4" s="12" t="s">
        <v>150</v>
      </c>
    </row>
    <row r="5" spans="1:17" ht="20.25" customHeight="1">
      <c r="F5" s="36"/>
      <c r="G5" s="42" t="s">
        <v>0</v>
      </c>
      <c r="H5" s="43" t="s">
        <v>12</v>
      </c>
      <c r="I5" s="42" t="s">
        <v>13</v>
      </c>
      <c r="J5" s="43" t="s">
        <v>14</v>
      </c>
      <c r="K5" s="42" t="s">
        <v>15</v>
      </c>
      <c r="L5" s="43" t="s">
        <v>301</v>
      </c>
    </row>
    <row r="6" spans="1:17">
      <c r="F6" s="36" t="s">
        <v>101</v>
      </c>
      <c r="G6" s="83">
        <f>Generic!B5</f>
        <v>46.81</v>
      </c>
      <c r="H6" s="83">
        <f>Generic!C5</f>
        <v>54</v>
      </c>
      <c r="I6" s="83">
        <f>Generic!D5</f>
        <v>60</v>
      </c>
      <c r="J6" s="83">
        <f>Generic!E5</f>
        <v>63</v>
      </c>
      <c r="K6" s="83">
        <f>Generic!F5</f>
        <v>67</v>
      </c>
      <c r="L6" s="83">
        <f>Generic!G5</f>
        <v>71</v>
      </c>
    </row>
    <row r="7" spans="1:17">
      <c r="F7" s="36" t="s">
        <v>126</v>
      </c>
      <c r="G7" s="83"/>
      <c r="H7" s="83">
        <f>Generic!C37</f>
        <v>424.67999999999995</v>
      </c>
      <c r="I7" s="83">
        <f>Generic!D37</f>
        <v>615.78600000000006</v>
      </c>
      <c r="J7" s="83">
        <f>Generic!E37</f>
        <v>797.33669999999995</v>
      </c>
      <c r="K7" s="83">
        <f>Generic!F37</f>
        <v>969.80986500000063</v>
      </c>
      <c r="L7" s="83">
        <f>Generic!G37</f>
        <v>1133.65937175</v>
      </c>
    </row>
    <row r="8" spans="1:17">
      <c r="F8" s="36"/>
      <c r="G8" s="41"/>
      <c r="H8" s="41"/>
      <c r="I8" s="41"/>
      <c r="J8" s="41"/>
      <c r="K8" s="41"/>
      <c r="L8" s="41"/>
    </row>
    <row r="19" spans="20:20">
      <c r="T19" s="13"/>
    </row>
    <row r="20" spans="20:20">
      <c r="T20" s="13"/>
    </row>
    <row r="43" spans="10:10" ht="15.75">
      <c r="J43" s="25"/>
    </row>
  </sheetData>
  <mergeCells count="1">
    <mergeCell ref="A1:Q1"/>
  </mergeCells>
  <pageMargins left="0.7" right="0.7" top="0.75" bottom="0.75" header="0.3" footer="0.3"/>
  <pageSetup scale="78" orientation="landscape" horizontalDpi="4294967293" verticalDpi="4294967293" r:id="rId1"/>
  <headerFooter>
    <oddHeader>&amp;L&amp;A&amp;C&amp;"-,Bold"&amp;14Alaska Economy Choices&amp;RPage &amp;P of &amp;N</oddHeader>
    <oddFooter>&amp;L&amp;Z&amp;F</oddFooter>
  </headerFooter>
  <colBreaks count="1" manualBreakCount="1">
    <brk id="8" max="1048575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2:E19"/>
  <sheetViews>
    <sheetView showGridLines="0" zoomScale="130" zoomScaleNormal="130" workbookViewId="0">
      <selection activeCell="H12" sqref="H12"/>
    </sheetView>
  </sheetViews>
  <sheetFormatPr defaultRowHeight="15"/>
  <cols>
    <col min="2" max="2" width="3.28515625" customWidth="1"/>
    <col min="3" max="3" width="28" customWidth="1"/>
  </cols>
  <sheetData>
    <row r="2" spans="2:4" ht="15.75">
      <c r="B2" s="21" t="s">
        <v>506</v>
      </c>
    </row>
    <row r="3" spans="2:4">
      <c r="B3" t="s">
        <v>508</v>
      </c>
    </row>
    <row r="4" spans="2:4" ht="6.75" customHeight="1"/>
    <row r="5" spans="2:4">
      <c r="C5" t="s">
        <v>507</v>
      </c>
      <c r="D5" s="294">
        <v>3.32</v>
      </c>
    </row>
    <row r="6" spans="2:4">
      <c r="C6" t="s">
        <v>509</v>
      </c>
      <c r="D6" s="294">
        <v>0.39</v>
      </c>
    </row>
    <row r="7" spans="2:4">
      <c r="C7" s="31" t="s">
        <v>510</v>
      </c>
      <c r="D7" s="295">
        <v>0.3</v>
      </c>
    </row>
    <row r="8" spans="2:4">
      <c r="C8" s="296" t="s">
        <v>511</v>
      </c>
      <c r="D8" s="297">
        <f>SUM(D5:D7)</f>
        <v>4.01</v>
      </c>
    </row>
    <row r="9" spans="2:4">
      <c r="D9" s="294"/>
    </row>
    <row r="10" spans="2:4" ht="15.75">
      <c r="B10" s="21" t="s">
        <v>512</v>
      </c>
      <c r="C10" s="149"/>
      <c r="D10" s="149"/>
    </row>
    <row r="11" spans="2:4">
      <c r="B11" s="149" t="s">
        <v>508</v>
      </c>
      <c r="C11" s="149"/>
      <c r="D11" s="149"/>
    </row>
    <row r="12" spans="2:4">
      <c r="B12" s="149"/>
      <c r="C12" s="149"/>
      <c r="D12" s="149"/>
    </row>
    <row r="13" spans="2:4">
      <c r="B13" s="149"/>
      <c r="C13" s="149" t="s">
        <v>513</v>
      </c>
      <c r="D13" s="294">
        <v>1</v>
      </c>
    </row>
    <row r="14" spans="2:4">
      <c r="B14" s="149"/>
      <c r="C14" s="5" t="s">
        <v>514</v>
      </c>
      <c r="D14" s="298">
        <v>1.75</v>
      </c>
    </row>
    <row r="15" spans="2:4" s="149" customFormat="1">
      <c r="C15" s="31" t="s">
        <v>516</v>
      </c>
      <c r="D15" s="295">
        <v>0.03</v>
      </c>
    </row>
    <row r="16" spans="2:4">
      <c r="B16" s="149"/>
      <c r="C16" s="296" t="s">
        <v>511</v>
      </c>
      <c r="D16" s="297">
        <f>SUM(D13:D15)</f>
        <v>2.78</v>
      </c>
    </row>
    <row r="18" spans="2:5" ht="15.75">
      <c r="B18" s="21" t="s">
        <v>515</v>
      </c>
      <c r="D18" s="198">
        <f>D8-D16</f>
        <v>1.23</v>
      </c>
    </row>
    <row r="19" spans="2:5">
      <c r="C19" s="36" t="str">
        <f>TEXT(D18,"$0.00")&amp;" / $55.0 ="</f>
        <v>$1.23 / $55.0 =</v>
      </c>
      <c r="D19" s="113">
        <f>D18/55</f>
        <v>2.2363636363636363E-2</v>
      </c>
      <c r="E19" t="s">
        <v>517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0"/>
  </sheetPr>
  <dimension ref="A1:I36"/>
  <sheetViews>
    <sheetView showGridLines="0" zoomScale="170" zoomScaleNormal="170" workbookViewId="0">
      <selection activeCell="B5" sqref="B5"/>
    </sheetView>
  </sheetViews>
  <sheetFormatPr defaultRowHeight="15"/>
  <cols>
    <col min="1" max="1" width="9.140625" style="149"/>
    <col min="2" max="2" width="10.85546875" customWidth="1"/>
    <col min="3" max="3" width="10.5703125" customWidth="1"/>
    <col min="4" max="4" width="9.5703125" bestFit="1" customWidth="1"/>
  </cols>
  <sheetData>
    <row r="1" spans="1:5" s="149" customFormat="1" ht="18.75">
      <c r="A1" s="18" t="s">
        <v>520</v>
      </c>
    </row>
    <row r="2" spans="1:5" s="149" customFormat="1"/>
    <row r="3" spans="1:5" s="149" customFormat="1"/>
    <row r="4" spans="1:5">
      <c r="B4" t="s">
        <v>523</v>
      </c>
      <c r="D4" s="299">
        <v>5.2499999999999998E-2</v>
      </c>
    </row>
    <row r="5" spans="1:5" s="149" customFormat="1">
      <c r="B5" s="149" t="s">
        <v>667</v>
      </c>
      <c r="D5" s="299"/>
    </row>
    <row r="6" spans="1:5" ht="6.75" customHeight="1"/>
    <row r="7" spans="1:5" s="149" customFormat="1">
      <c r="B7" s="12" t="s">
        <v>522</v>
      </c>
    </row>
    <row r="8" spans="1:5" ht="45.75" thickBot="1">
      <c r="B8" s="124" t="s">
        <v>136</v>
      </c>
      <c r="C8" s="300" t="s">
        <v>519</v>
      </c>
      <c r="D8" s="300"/>
    </row>
    <row r="9" spans="1:5" ht="15.75" thickTop="1">
      <c r="B9" s="3">
        <v>2012</v>
      </c>
      <c r="C9" s="301">
        <v>40333</v>
      </c>
    </row>
    <row r="10" spans="1:5">
      <c r="B10" s="3">
        <v>2013</v>
      </c>
      <c r="C10" s="302">
        <v>44853</v>
      </c>
    </row>
    <row r="11" spans="1:5">
      <c r="B11" s="3">
        <v>2014</v>
      </c>
      <c r="C11" s="302">
        <v>51214</v>
      </c>
      <c r="E11" t="s">
        <v>521</v>
      </c>
    </row>
    <row r="12" spans="1:5">
      <c r="B12" s="3">
        <v>2015</v>
      </c>
      <c r="C12" s="302">
        <v>52800</v>
      </c>
      <c r="E12" s="189">
        <f>AVERAGE(C9:C13)</f>
        <v>48393.8</v>
      </c>
    </row>
    <row r="13" spans="1:5" ht="15.75" thickBot="1">
      <c r="B13" s="3">
        <v>2016</v>
      </c>
      <c r="C13" s="303">
        <v>52769</v>
      </c>
    </row>
    <row r="14" spans="1:5" ht="15.75" thickTop="1">
      <c r="B14" s="3">
        <v>2017</v>
      </c>
      <c r="C14" s="13">
        <v>54951</v>
      </c>
      <c r="D14" t="s">
        <v>524</v>
      </c>
    </row>
    <row r="15" spans="1:5" ht="15.75">
      <c r="B15" s="3">
        <v>2018</v>
      </c>
      <c r="E15" t="s">
        <v>526</v>
      </c>
    </row>
    <row r="17" spans="2:9">
      <c r="B17" t="s">
        <v>548</v>
      </c>
    </row>
    <row r="18" spans="2:9">
      <c r="B18" t="s">
        <v>533</v>
      </c>
    </row>
    <row r="19" spans="2:9">
      <c r="B19" t="s">
        <v>534</v>
      </c>
    </row>
    <row r="22" spans="2:9">
      <c r="B22" s="149" t="s">
        <v>525</v>
      </c>
      <c r="C22" s="149"/>
      <c r="E22" s="149"/>
      <c r="F22" s="304">
        <v>1</v>
      </c>
      <c r="H22" s="149"/>
      <c r="I22" s="149"/>
    </row>
    <row r="23" spans="2:9">
      <c r="B23" s="149" t="s">
        <v>531</v>
      </c>
      <c r="C23" s="149"/>
      <c r="D23" s="149"/>
      <c r="E23" s="149"/>
      <c r="F23" s="149"/>
      <c r="G23" s="149"/>
      <c r="H23" s="149"/>
      <c r="I23" s="149"/>
    </row>
    <row r="24" spans="2:9" s="149" customFormat="1" ht="6.75" customHeight="1"/>
    <row r="25" spans="2:9">
      <c r="B25" s="12" t="s">
        <v>522</v>
      </c>
      <c r="C25" s="149"/>
      <c r="D25" s="149"/>
      <c r="E25" s="149"/>
      <c r="F25" s="149"/>
      <c r="G25" s="149"/>
      <c r="H25" s="149"/>
      <c r="I25" s="149"/>
    </row>
    <row r="26" spans="2:9" ht="45">
      <c r="B26" s="124" t="s">
        <v>136</v>
      </c>
      <c r="C26" s="124" t="s">
        <v>532</v>
      </c>
      <c r="D26" s="300"/>
      <c r="E26" s="149"/>
      <c r="F26" s="149"/>
      <c r="G26" s="149"/>
      <c r="H26" s="149"/>
      <c r="I26" s="149"/>
    </row>
    <row r="27" spans="2:9" ht="15.75" thickBot="1">
      <c r="B27" s="3">
        <v>2012</v>
      </c>
      <c r="C27" s="34">
        <v>1568</v>
      </c>
      <c r="D27" s="149"/>
      <c r="E27" s="149"/>
      <c r="F27" s="149"/>
      <c r="G27" s="149"/>
      <c r="H27" s="149"/>
      <c r="I27" s="149"/>
    </row>
    <row r="28" spans="2:9" ht="15.75" thickTop="1">
      <c r="B28" s="3">
        <v>2013</v>
      </c>
      <c r="C28" s="301">
        <v>2928</v>
      </c>
      <c r="D28" s="149"/>
      <c r="E28" s="149"/>
      <c r="F28" s="149"/>
      <c r="G28" s="149"/>
      <c r="H28" s="149"/>
      <c r="I28" s="149"/>
    </row>
    <row r="29" spans="2:9">
      <c r="B29" s="3">
        <v>2014</v>
      </c>
      <c r="C29" s="302">
        <v>3531</v>
      </c>
      <c r="D29" s="149"/>
      <c r="E29" s="149" t="s">
        <v>527</v>
      </c>
      <c r="F29" s="149"/>
      <c r="G29" s="149"/>
      <c r="H29" s="149"/>
      <c r="I29" s="149"/>
    </row>
    <row r="30" spans="2:9">
      <c r="B30" s="3">
        <v>2015</v>
      </c>
      <c r="C30" s="302">
        <v>2907</v>
      </c>
      <c r="D30" s="149"/>
      <c r="E30" s="189">
        <f>SUM(C28:C32)</f>
        <v>14297</v>
      </c>
      <c r="F30" s="149"/>
      <c r="G30" s="149"/>
      <c r="H30" s="149"/>
      <c r="I30" s="149"/>
    </row>
    <row r="31" spans="2:9">
      <c r="B31" s="3">
        <v>2016</v>
      </c>
      <c r="C31" s="302">
        <v>2198</v>
      </c>
      <c r="D31" s="149"/>
      <c r="E31" s="149"/>
      <c r="F31" s="149"/>
      <c r="G31" s="149"/>
      <c r="H31" s="149"/>
      <c r="I31" s="149"/>
    </row>
    <row r="32" spans="2:9" ht="15.75" thickBot="1">
      <c r="B32" s="3">
        <v>2017</v>
      </c>
      <c r="C32" s="303">
        <v>2733</v>
      </c>
      <c r="D32" s="149" t="s">
        <v>524</v>
      </c>
      <c r="E32" s="149"/>
      <c r="F32" s="149"/>
      <c r="G32" s="149"/>
      <c r="H32" s="149"/>
      <c r="I32" s="149"/>
    </row>
    <row r="33" spans="2:9" ht="15.75" thickTop="1">
      <c r="B33" s="3">
        <v>2018</v>
      </c>
      <c r="C33" s="149"/>
      <c r="D33" s="149" t="s">
        <v>528</v>
      </c>
      <c r="E33" s="149"/>
      <c r="F33" s="149"/>
      <c r="G33" s="149"/>
      <c r="H33" s="149"/>
      <c r="I33" s="149"/>
    </row>
    <row r="34" spans="2:9">
      <c r="B34" s="149"/>
      <c r="C34" s="149"/>
      <c r="D34" s="149"/>
      <c r="E34" s="149"/>
      <c r="F34" s="149"/>
      <c r="G34" s="149"/>
      <c r="H34" s="149"/>
      <c r="I34" s="149"/>
    </row>
    <row r="35" spans="2:9">
      <c r="B35" s="149" t="s">
        <v>529</v>
      </c>
      <c r="C35" s="149"/>
      <c r="D35" s="149"/>
      <c r="E35" s="149"/>
      <c r="F35" s="149"/>
      <c r="G35" s="149"/>
      <c r="H35" s="149"/>
      <c r="I35" s="149"/>
    </row>
    <row r="36" spans="2:9">
      <c r="B36" t="s">
        <v>530</v>
      </c>
    </row>
  </sheetData>
  <pageMargins left="0.7" right="0.7" top="0.75" bottom="0.75" header="0.3" footer="0.3"/>
  <ignoredErrors>
    <ignoredError sqref="E12 E30" formulaRange="1"/>
  </ignoredError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O247"/>
  <sheetViews>
    <sheetView zoomScale="120" zoomScaleNormal="120" workbookViewId="0"/>
  </sheetViews>
  <sheetFormatPr defaultRowHeight="15"/>
  <cols>
    <col min="1" max="1" width="30.85546875" customWidth="1"/>
    <col min="2" max="2" width="12.42578125" customWidth="1"/>
    <col min="3" max="3" width="10.5703125" bestFit="1" customWidth="1"/>
    <col min="4" max="4" width="10.42578125" customWidth="1"/>
    <col min="5" max="5" width="10.5703125" bestFit="1" customWidth="1"/>
    <col min="6" max="7" width="11.140625" customWidth="1"/>
    <col min="8" max="12" width="10.5703125" bestFit="1" customWidth="1"/>
    <col min="16" max="17" width="10.5703125" bestFit="1" customWidth="1"/>
  </cols>
  <sheetData>
    <row r="1" spans="1:12" ht="23.25">
      <c r="A1" s="24" t="s">
        <v>70</v>
      </c>
      <c r="B1" s="24"/>
    </row>
    <row r="3" spans="1:12" ht="15.75">
      <c r="A3" s="40" t="s">
        <v>92</v>
      </c>
    </row>
    <row r="4" spans="1:12">
      <c r="A4" t="s">
        <v>321</v>
      </c>
      <c r="D4" s="121">
        <v>6832.1</v>
      </c>
      <c r="E4" t="s">
        <v>71</v>
      </c>
      <c r="F4" s="149" t="s">
        <v>495</v>
      </c>
    </row>
    <row r="5" spans="1:12">
      <c r="A5" t="s">
        <v>326</v>
      </c>
      <c r="D5" s="121">
        <v>288</v>
      </c>
      <c r="F5" s="149" t="s">
        <v>496</v>
      </c>
    </row>
    <row r="6" spans="1:12">
      <c r="A6" t="s">
        <v>93</v>
      </c>
      <c r="D6" s="121">
        <v>27.1</v>
      </c>
      <c r="F6" t="s">
        <v>96</v>
      </c>
    </row>
    <row r="7" spans="1:12">
      <c r="A7" t="s">
        <v>94</v>
      </c>
      <c r="D7" s="121">
        <v>-0.5</v>
      </c>
      <c r="F7" t="s">
        <v>494</v>
      </c>
    </row>
    <row r="8" spans="1:12">
      <c r="A8" t="s">
        <v>95</v>
      </c>
      <c r="D8" s="121">
        <v>439.5</v>
      </c>
      <c r="F8" t="s">
        <v>96</v>
      </c>
    </row>
    <row r="9" spans="1:12">
      <c r="A9" t="s">
        <v>497</v>
      </c>
      <c r="D9" s="121">
        <v>114.7</v>
      </c>
      <c r="F9" t="s">
        <v>96</v>
      </c>
    </row>
    <row r="10" spans="1:12">
      <c r="A10" s="31" t="s">
        <v>327</v>
      </c>
      <c r="B10" s="31"/>
      <c r="C10" s="31"/>
      <c r="D10" s="339">
        <v>946.9</v>
      </c>
      <c r="E10" s="31"/>
      <c r="F10" t="s">
        <v>96</v>
      </c>
    </row>
    <row r="11" spans="1:12">
      <c r="C11" s="36" t="s">
        <v>300</v>
      </c>
      <c r="D11" s="60">
        <f>SUM(D4:D10)</f>
        <v>8647.8000000000011</v>
      </c>
      <c r="E11" t="s">
        <v>71</v>
      </c>
    </row>
    <row r="12" spans="1:12" s="149" customFormat="1">
      <c r="C12" s="36" t="s">
        <v>498</v>
      </c>
      <c r="D12" s="60">
        <f>SUM(D4:D5)</f>
        <v>7120.1</v>
      </c>
    </row>
    <row r="13" spans="1:12">
      <c r="C13" s="36" t="s">
        <v>493</v>
      </c>
      <c r="D13" s="60">
        <f>D12-cbr_end_fy16_adj</f>
        <v>-1527.7000000000007</v>
      </c>
    </row>
    <row r="14" spans="1:12">
      <c r="C14" s="36"/>
      <c r="D14" s="60"/>
    </row>
    <row r="15" spans="1:12" ht="18.75">
      <c r="A15" s="27" t="s">
        <v>144</v>
      </c>
    </row>
    <row r="16" spans="1:12" s="16" customFormat="1">
      <c r="B16" s="124" t="s">
        <v>7</v>
      </c>
      <c r="C16" s="124" t="s">
        <v>8</v>
      </c>
      <c r="D16" s="124" t="s">
        <v>9</v>
      </c>
      <c r="E16" s="124" t="s">
        <v>10</v>
      </c>
      <c r="F16" s="124" t="s">
        <v>11</v>
      </c>
      <c r="G16" s="124" t="s">
        <v>0</v>
      </c>
      <c r="H16" s="124" t="s">
        <v>12</v>
      </c>
      <c r="I16" s="124" t="s">
        <v>13</v>
      </c>
      <c r="J16" s="124" t="s">
        <v>14</v>
      </c>
      <c r="K16" s="124" t="s">
        <v>15</v>
      </c>
      <c r="L16" s="124" t="s">
        <v>301</v>
      </c>
    </row>
    <row r="17" spans="1:12">
      <c r="A17" t="s">
        <v>492</v>
      </c>
      <c r="E17" s="32"/>
      <c r="F17" s="32"/>
      <c r="G17" s="32">
        <v>116.80250000000024</v>
      </c>
      <c r="H17" s="32">
        <v>119.48475000000053</v>
      </c>
      <c r="I17" s="32">
        <v>123.28100000000086</v>
      </c>
      <c r="J17" s="32">
        <v>126.90775000000031</v>
      </c>
      <c r="K17" s="32">
        <v>129.97875000000022</v>
      </c>
      <c r="L17" s="32">
        <v>134.34325000000081</v>
      </c>
    </row>
    <row r="18" spans="1:12">
      <c r="A18" t="s">
        <v>491</v>
      </c>
      <c r="E18" s="32"/>
      <c r="F18" s="32"/>
      <c r="G18" s="32">
        <v>23</v>
      </c>
      <c r="H18" s="32">
        <v>26</v>
      </c>
      <c r="I18" s="32">
        <v>26</v>
      </c>
      <c r="J18" s="32">
        <v>26</v>
      </c>
      <c r="K18" s="32">
        <v>26</v>
      </c>
      <c r="L18" s="32">
        <v>26</v>
      </c>
    </row>
    <row r="19" spans="1:12" ht="21" customHeight="1">
      <c r="F19" s="32"/>
      <c r="G19" s="32"/>
      <c r="H19" s="32"/>
      <c r="I19" s="32"/>
      <c r="J19" s="32"/>
      <c r="K19" s="32"/>
      <c r="L19" s="32"/>
    </row>
    <row r="20" spans="1:12" ht="18.75">
      <c r="A20" s="27" t="s">
        <v>24</v>
      </c>
      <c r="B20" s="27"/>
    </row>
    <row r="21" spans="1:12" ht="9.75" customHeight="1"/>
    <row r="22" spans="1:12" s="16" customFormat="1">
      <c r="A22" s="26" t="s">
        <v>244</v>
      </c>
      <c r="B22" s="124" t="s">
        <v>7</v>
      </c>
      <c r="C22" s="124" t="s">
        <v>8</v>
      </c>
      <c r="D22" s="124" t="s">
        <v>9</v>
      </c>
      <c r="E22" s="124" t="s">
        <v>10</v>
      </c>
      <c r="F22" s="124" t="s">
        <v>11</v>
      </c>
      <c r="G22" s="124" t="s">
        <v>0</v>
      </c>
      <c r="H22" s="124" t="s">
        <v>12</v>
      </c>
      <c r="I22" s="124" t="s">
        <v>13</v>
      </c>
      <c r="J22" s="124" t="s">
        <v>14</v>
      </c>
      <c r="K22" s="124" t="s">
        <v>15</v>
      </c>
      <c r="L22" s="124" t="s">
        <v>301</v>
      </c>
    </row>
    <row r="23" spans="1:12">
      <c r="A23" t="s">
        <v>35</v>
      </c>
      <c r="G23" s="13">
        <f>return_total_fy17*(F28+G24/2)-G17</f>
        <v>3474.2021675152187</v>
      </c>
      <c r="H23" s="13">
        <f>return_total*(G28+H24/2)-H17</f>
        <v>3816.1787890023188</v>
      </c>
      <c r="I23" s="13">
        <f>return_total*(H28+I24/2)-I17</f>
        <v>3992.1870826765189</v>
      </c>
      <c r="J23" s="13">
        <f>return_total*(I28+J24/2)-J17</f>
        <v>4178.7508984044289</v>
      </c>
      <c r="K23" s="13">
        <f>return_total*(J28+K24/2)-K17</f>
        <v>4223.7133860787972</v>
      </c>
      <c r="L23" s="13">
        <f>return_total*(K28+L24/2)-L17</f>
        <v>4247.2584074034576</v>
      </c>
    </row>
    <row r="24" spans="1:12">
      <c r="A24" t="s">
        <v>360</v>
      </c>
      <c r="G24" s="13">
        <f>0.995*'HB61'!B23-'HB61'!B7</f>
        <v>264.16917955877489</v>
      </c>
      <c r="H24" s="13">
        <f>0.995*'HB61'!C23-'HB61'!C7</f>
        <v>287.76202534319395</v>
      </c>
      <c r="I24" s="13">
        <f>0.995*'HB61'!D23-'HB61'!D7</f>
        <v>316.36089986829631</v>
      </c>
      <c r="J24" s="13">
        <f>0.995*'HB61'!E23-'HB61'!E7</f>
        <v>331.24859189769927</v>
      </c>
      <c r="K24" s="13">
        <f>0.995*'HB61'!F23-'HB61'!F7</f>
        <v>346.19562969605238</v>
      </c>
      <c r="L24" s="13">
        <f>0.995*'HB61'!G23-'HB61'!G7</f>
        <v>350.73968794654081</v>
      </c>
    </row>
    <row r="25" spans="1:12">
      <c r="A25" t="s">
        <v>26</v>
      </c>
      <c r="G25" s="1">
        <f>-G$18</f>
        <v>-23</v>
      </c>
      <c r="H25" s="1">
        <f t="shared" ref="H25:L25" si="0">-H$18</f>
        <v>-26</v>
      </c>
      <c r="I25" s="1">
        <f t="shared" si="0"/>
        <v>-26</v>
      </c>
      <c r="J25" s="1">
        <f t="shared" si="0"/>
        <v>-26</v>
      </c>
      <c r="K25" s="1">
        <f t="shared" si="0"/>
        <v>-26</v>
      </c>
      <c r="L25" s="1">
        <f t="shared" si="0"/>
        <v>-26</v>
      </c>
    </row>
    <row r="26" spans="1:12">
      <c r="A26" t="s">
        <v>25</v>
      </c>
      <c r="G26" s="1">
        <v>-696</v>
      </c>
      <c r="H26" s="1">
        <f>-0.21*SUM(C39:G39)/2+'Common Inputs'!C68</f>
        <v>-1505.124515288627</v>
      </c>
      <c r="I26" s="1">
        <f>-0.21*SUM(D39:H39)/2+'Common Inputs'!D68</f>
        <v>-1553.4369259996802</v>
      </c>
      <c r="J26" s="1">
        <f>-0.21*SUM(E39:I39)/2+'Common Inputs'!E68</f>
        <v>-1554.986512765098</v>
      </c>
      <c r="K26" s="1">
        <f>-0.21*SUM(F39:J39)/2+'Common Inputs'!F68</f>
        <v>-1639.6051985020883</v>
      </c>
      <c r="L26" s="1">
        <f>-0.21*SUM(G39:K39)/2+'Common Inputs'!G68</f>
        <v>-1802.8747085375312</v>
      </c>
    </row>
    <row r="27" spans="1:12">
      <c r="A27" s="31" t="s">
        <v>23</v>
      </c>
      <c r="B27" s="31"/>
      <c r="C27" s="31"/>
      <c r="D27" s="31"/>
      <c r="E27" s="31"/>
      <c r="F27" s="31"/>
      <c r="G27" s="2">
        <f>-'HB61'!B89</f>
        <v>0</v>
      </c>
      <c r="H27" s="2">
        <f>-'HB61'!C89</f>
        <v>0</v>
      </c>
      <c r="I27" s="2">
        <f>-'HB61'!D89</f>
        <v>0</v>
      </c>
      <c r="J27" s="2">
        <f>-'HB61'!E89</f>
        <v>-2245.3571773805538</v>
      </c>
      <c r="K27" s="2">
        <f>-'HB61'!F89</f>
        <v>-2505</v>
      </c>
      <c r="L27" s="2">
        <f>-'HB61'!G89</f>
        <v>-2515.6999999999998</v>
      </c>
    </row>
    <row r="28" spans="1:12">
      <c r="A28" t="s">
        <v>16</v>
      </c>
      <c r="B28" s="32">
        <v>40333</v>
      </c>
      <c r="C28" s="32">
        <v>44853</v>
      </c>
      <c r="D28" s="32">
        <v>51214</v>
      </c>
      <c r="E28" s="32">
        <v>52800</v>
      </c>
      <c r="F28" s="32">
        <f>52769+696</f>
        <v>53465</v>
      </c>
      <c r="G28" s="13">
        <f t="shared" ref="G28:L28" si="1">F28+SUM(G23:G27)</f>
        <v>56484.371347073997</v>
      </c>
      <c r="H28" s="13">
        <f t="shared" si="1"/>
        <v>59057.187646130886</v>
      </c>
      <c r="I28" s="13">
        <f t="shared" si="1"/>
        <v>61786.298702676024</v>
      </c>
      <c r="J28" s="13">
        <f t="shared" si="1"/>
        <v>62469.954502832501</v>
      </c>
      <c r="K28" s="13">
        <f t="shared" si="1"/>
        <v>62869.258320105262</v>
      </c>
      <c r="L28" s="13">
        <f t="shared" si="1"/>
        <v>63122.681706917727</v>
      </c>
    </row>
    <row r="29" spans="1:12">
      <c r="I29" s="149"/>
      <c r="J29" s="149"/>
      <c r="K29" s="149"/>
      <c r="L29" s="149"/>
    </row>
    <row r="30" spans="1:12" s="149" customFormat="1">
      <c r="F30" s="36" t="s">
        <v>314</v>
      </c>
      <c r="G30" s="13">
        <v>55778.426647</v>
      </c>
      <c r="H30" s="13">
        <v>59147.422309814501</v>
      </c>
      <c r="I30" s="13">
        <v>62780.534676873307</v>
      </c>
      <c r="J30" s="13">
        <v>65731.279995307166</v>
      </c>
      <c r="K30" s="13">
        <v>67506.535176100573</v>
      </c>
      <c r="L30" s="13">
        <v>69319.496364877312</v>
      </c>
    </row>
    <row r="31" spans="1:12" s="149" customFormat="1">
      <c r="A31" s="26" t="s">
        <v>564</v>
      </c>
      <c r="F31" s="36"/>
      <c r="G31" s="13"/>
      <c r="H31" s="13"/>
      <c r="I31" s="13"/>
      <c r="J31" s="13"/>
      <c r="K31" s="13"/>
      <c r="L31" s="13"/>
    </row>
    <row r="32" spans="1:12" s="149" customFormat="1">
      <c r="A32" s="149" t="s">
        <v>565</v>
      </c>
      <c r="F32" s="13"/>
      <c r="G32" s="13">
        <f t="shared" ref="G32:L32" si="2">G23-G39-G$18</f>
        <v>680.68297429019822</v>
      </c>
      <c r="H32" s="13">
        <f t="shared" si="2"/>
        <v>402.06059175419432</v>
      </c>
      <c r="I32" s="13">
        <f t="shared" si="2"/>
        <v>420.42911348206189</v>
      </c>
      <c r="J32" s="13">
        <f t="shared" si="2"/>
        <v>439.85865329023727</v>
      </c>
      <c r="K32" s="13">
        <f t="shared" si="2"/>
        <v>444.76567145553236</v>
      </c>
      <c r="L32" s="13">
        <f t="shared" si="2"/>
        <v>447.61685996495817</v>
      </c>
    </row>
    <row r="33" spans="1:15" s="149" customFormat="1">
      <c r="A33" s="149" t="s">
        <v>566</v>
      </c>
      <c r="F33" s="28">
        <v>5671</v>
      </c>
      <c r="G33" s="13">
        <f>F33+G32</f>
        <v>6351.6829742901982</v>
      </c>
      <c r="H33" s="13">
        <f t="shared" ref="H33:L33" si="3">G33+H32</f>
        <v>6753.7435660443925</v>
      </c>
      <c r="I33" s="13">
        <f t="shared" si="3"/>
        <v>7174.1726795264549</v>
      </c>
      <c r="J33" s="13">
        <f t="shared" si="3"/>
        <v>7614.0313328166922</v>
      </c>
      <c r="K33" s="13">
        <f t="shared" si="3"/>
        <v>8058.7970042722245</v>
      </c>
      <c r="L33" s="13">
        <f t="shared" si="3"/>
        <v>8506.4138642371836</v>
      </c>
    </row>
    <row r="34" spans="1:15" s="149" customFormat="1">
      <c r="A34" s="149" t="s">
        <v>567</v>
      </c>
      <c r="F34" s="28">
        <v>39449</v>
      </c>
      <c r="G34" s="13">
        <f t="shared" ref="G34:L34" si="4">F34+G24-G42</f>
        <v>39713.169179558776</v>
      </c>
      <c r="H34" s="13">
        <f t="shared" si="4"/>
        <v>40900.952157012267</v>
      </c>
      <c r="I34" s="13">
        <f t="shared" si="4"/>
        <v>42144.702600660377</v>
      </c>
      <c r="J34" s="13">
        <f t="shared" si="4"/>
        <v>43431.660094390631</v>
      </c>
      <c r="K34" s="13">
        <f t="shared" si="4"/>
        <v>44762.857477878628</v>
      </c>
      <c r="L34" s="13">
        <f t="shared" si="4"/>
        <v>46128.653102056232</v>
      </c>
    </row>
    <row r="35" spans="1:15" s="149" customFormat="1">
      <c r="A35" s="149" t="s">
        <v>568</v>
      </c>
      <c r="F35" s="28">
        <f>7649+696</f>
        <v>8345</v>
      </c>
      <c r="G35" s="13">
        <f>G28-G33-G34</f>
        <v>10419.519193225024</v>
      </c>
      <c r="H35" s="13">
        <f t="shared" ref="H35:L35" si="5">H28-H33-H34</f>
        <v>11402.491923074223</v>
      </c>
      <c r="I35" s="13">
        <f t="shared" si="5"/>
        <v>12467.423422489192</v>
      </c>
      <c r="J35" s="13">
        <f t="shared" si="5"/>
        <v>11424.263075625182</v>
      </c>
      <c r="K35" s="13">
        <f t="shared" si="5"/>
        <v>10047.603837954412</v>
      </c>
      <c r="L35" s="13">
        <f t="shared" si="5"/>
        <v>8487.6147406243108</v>
      </c>
    </row>
    <row r="36" spans="1:15" s="149" customFormat="1">
      <c r="A36" s="149" t="s">
        <v>569</v>
      </c>
      <c r="F36" s="13">
        <f>F35/(F35+F34)*F33</f>
        <v>990.17648658827466</v>
      </c>
      <c r="G36" s="13">
        <f t="shared" ref="G36:L36" si="6">G35/(G35+G34)*G33</f>
        <v>1320.1263448665591</v>
      </c>
      <c r="H36" s="13">
        <f t="shared" si="6"/>
        <v>1472.3601440933703</v>
      </c>
      <c r="I36" s="13">
        <f t="shared" si="6"/>
        <v>1637.7946623758235</v>
      </c>
      <c r="J36" s="13">
        <f t="shared" si="6"/>
        <v>1585.6937954094383</v>
      </c>
      <c r="K36" s="13">
        <f t="shared" si="6"/>
        <v>1477.3019194792098</v>
      </c>
      <c r="L36" s="13">
        <f t="shared" si="6"/>
        <v>1321.9351404954407</v>
      </c>
    </row>
    <row r="37" spans="1:15" s="149" customFormat="1">
      <c r="F37" s="335"/>
      <c r="G37" s="13"/>
      <c r="H37" s="13"/>
      <c r="I37" s="13"/>
      <c r="J37" s="13"/>
      <c r="K37" s="13"/>
      <c r="L37" s="13"/>
    </row>
    <row r="38" spans="1:15">
      <c r="A38" s="26" t="s">
        <v>32</v>
      </c>
    </row>
    <row r="39" spans="1:15">
      <c r="A39" t="s">
        <v>27</v>
      </c>
      <c r="B39" s="28">
        <v>1568</v>
      </c>
      <c r="C39" s="28">
        <v>2928</v>
      </c>
      <c r="D39" s="28">
        <v>3531</v>
      </c>
      <c r="E39" s="28">
        <v>2907</v>
      </c>
      <c r="F39" s="28">
        <v>2198</v>
      </c>
      <c r="G39" s="13">
        <f>return_stat_fy17*(F28+G24/2)-SUM(G17:G18)</f>
        <v>2770.5191932250204</v>
      </c>
      <c r="H39" s="13">
        <f>return_stat*(G28+H24/2)-SUM(H17:H18)</f>
        <v>3388.1181972481245</v>
      </c>
      <c r="I39" s="13">
        <f>return_stat*(H28+I24/2)-SUM(I17:I18)</f>
        <v>3545.757969194457</v>
      </c>
      <c r="J39" s="13">
        <f>return_stat*(I28+J24/2)-SUM(J17:J18)</f>
        <v>3712.8922451141916</v>
      </c>
      <c r="K39" s="13">
        <f>return_stat*(J28+K24/2)-SUM(K17:K18)</f>
        <v>3752.9477146232648</v>
      </c>
      <c r="L39" s="13">
        <f>return_stat*(K28+L24/2)-SUM(L17:L18)</f>
        <v>3773.6415474384994</v>
      </c>
    </row>
    <row r="40" spans="1:15" s="149" customFormat="1">
      <c r="A40" s="149" t="s">
        <v>584</v>
      </c>
      <c r="B40" s="28"/>
      <c r="C40" s="28"/>
      <c r="D40" s="28"/>
      <c r="E40" s="28"/>
      <c r="F40" s="28"/>
      <c r="G40" s="13">
        <f>G36-F36</f>
        <v>329.94985827828441</v>
      </c>
      <c r="H40" s="13">
        <f t="shared" ref="H40:L40" si="7">H36-G36</f>
        <v>152.23379922681124</v>
      </c>
      <c r="I40" s="13">
        <f t="shared" si="7"/>
        <v>165.43451828245315</v>
      </c>
      <c r="J40" s="13">
        <f t="shared" si="7"/>
        <v>-52.100866966385183</v>
      </c>
      <c r="K40" s="13">
        <f t="shared" si="7"/>
        <v>-108.39187593022848</v>
      </c>
      <c r="L40" s="13">
        <f t="shared" si="7"/>
        <v>-155.36677898376911</v>
      </c>
    </row>
    <row r="41" spans="1:15">
      <c r="A41" t="s">
        <v>25</v>
      </c>
      <c r="G41" s="1">
        <f>'PF Model'!G26</f>
        <v>-696</v>
      </c>
      <c r="H41" s="1">
        <f>'PF Model'!H26</f>
        <v>-1505.124515288627</v>
      </c>
      <c r="I41" s="1">
        <f>'PF Model'!I26</f>
        <v>-1553.4369259996802</v>
      </c>
      <c r="J41" s="1">
        <f>'PF Model'!J26</f>
        <v>-1554.986512765098</v>
      </c>
      <c r="K41" s="1">
        <f>'PF Model'!K26</f>
        <v>-1639.6051985020883</v>
      </c>
      <c r="L41" s="1">
        <f>'PF Model'!L26</f>
        <v>-1802.8747085375312</v>
      </c>
    </row>
    <row r="42" spans="1:15">
      <c r="A42" t="s">
        <v>33</v>
      </c>
      <c r="G42" s="1">
        <f>-inflation_fy17*(F34+G24)*'Common Inputs'!B78</f>
        <v>0</v>
      </c>
      <c r="H42" s="1">
        <f>-inflation*(G34+H24)*'Common Inputs'!C78</f>
        <v>-900.02095211029439</v>
      </c>
      <c r="I42" s="1">
        <f>-inflation*(H34+I24)*'Common Inputs'!D78</f>
        <v>-927.3895437798127</v>
      </c>
      <c r="J42" s="1">
        <f>-inflation*(I34+J24)*'Common Inputs'!E78</f>
        <v>-955.70890183255665</v>
      </c>
      <c r="K42" s="1">
        <f>-inflation*(J34+K24)*'Common Inputs'!F78</f>
        <v>-985.00175379195025</v>
      </c>
      <c r="L42" s="1">
        <f>-inflation*(K34+L24)*'Common Inputs'!G78</f>
        <v>-1015.0559362310662</v>
      </c>
    </row>
    <row r="43" spans="1:15">
      <c r="A43" s="31" t="s">
        <v>23</v>
      </c>
      <c r="B43" s="31"/>
      <c r="C43" s="31"/>
      <c r="D43" s="31"/>
      <c r="E43" s="31"/>
      <c r="F43" s="31"/>
      <c r="G43" s="2">
        <f>-'HB61'!B89</f>
        <v>0</v>
      </c>
      <c r="H43" s="2">
        <f>-'HB61'!C89</f>
        <v>0</v>
      </c>
      <c r="I43" s="2">
        <f>-'HB61'!D89</f>
        <v>0</v>
      </c>
      <c r="J43" s="2">
        <f>-'HB61'!E89</f>
        <v>-2245.3571773805538</v>
      </c>
      <c r="K43" s="2">
        <f>-'HB61'!F89</f>
        <v>-2505</v>
      </c>
      <c r="L43" s="2">
        <f>-'HB61'!G89</f>
        <v>-2515.6999999999998</v>
      </c>
    </row>
    <row r="44" spans="1:15">
      <c r="A44" s="104" t="s">
        <v>158</v>
      </c>
      <c r="B44" s="104"/>
      <c r="C44" s="104"/>
      <c r="D44" s="104"/>
      <c r="E44" s="104"/>
      <c r="F44" s="104"/>
      <c r="G44" s="105">
        <f t="shared" ref="G44:L44" si="8">SUM(G39:G43)</f>
        <v>2404.4690515033049</v>
      </c>
      <c r="H44" s="105">
        <f t="shared" si="8"/>
        <v>1135.2065290760142</v>
      </c>
      <c r="I44" s="105">
        <f t="shared" si="8"/>
        <v>1230.3660176974172</v>
      </c>
      <c r="J44" s="105">
        <f t="shared" si="8"/>
        <v>-1095.2612138304023</v>
      </c>
      <c r="K44" s="105">
        <f t="shared" si="8"/>
        <v>-1485.0511136010025</v>
      </c>
      <c r="L44" s="105">
        <f t="shared" si="8"/>
        <v>-1715.3558763138669</v>
      </c>
    </row>
    <row r="45" spans="1:15">
      <c r="A45" s="33" t="s">
        <v>16</v>
      </c>
      <c r="B45" s="5"/>
      <c r="C45" s="5"/>
      <c r="D45" s="5"/>
      <c r="E45" s="5"/>
      <c r="F45" s="35">
        <f>8570+696</f>
        <v>9266</v>
      </c>
      <c r="G45" s="34">
        <f t="shared" ref="G45:L45" si="9">MAX(0,F45+G44)</f>
        <v>11670.469051503305</v>
      </c>
      <c r="H45" s="34">
        <f t="shared" si="9"/>
        <v>12805.67558057932</v>
      </c>
      <c r="I45" s="34">
        <f t="shared" si="9"/>
        <v>14036.041598276737</v>
      </c>
      <c r="J45" s="34">
        <f t="shared" si="9"/>
        <v>12940.780384446334</v>
      </c>
      <c r="K45" s="34">
        <f t="shared" si="9"/>
        <v>11455.729270845331</v>
      </c>
      <c r="L45" s="34">
        <f t="shared" si="9"/>
        <v>9740.3733945314652</v>
      </c>
    </row>
    <row r="46" spans="1:15">
      <c r="A46" s="54"/>
      <c r="B46" s="143"/>
      <c r="C46" s="143"/>
      <c r="D46" s="143"/>
      <c r="E46" s="143"/>
      <c r="F46" s="144"/>
      <c r="G46" s="145"/>
      <c r="H46" s="145"/>
      <c r="I46" s="145"/>
      <c r="J46" s="145"/>
      <c r="K46" s="145"/>
      <c r="L46" s="146"/>
      <c r="M46" s="147"/>
      <c r="N46" s="147"/>
      <c r="O46" s="147"/>
    </row>
    <row r="47" spans="1:15" ht="18.75" hidden="1">
      <c r="A47" s="27" t="s">
        <v>487</v>
      </c>
      <c r="B47" s="27"/>
    </row>
    <row r="48" spans="1:15" ht="9" hidden="1" customHeight="1"/>
    <row r="49" spans="1:12" s="16" customFormat="1" hidden="1">
      <c r="A49" s="26" t="s">
        <v>244</v>
      </c>
      <c r="B49" s="124" t="s">
        <v>7</v>
      </c>
      <c r="C49" s="124" t="s">
        <v>8</v>
      </c>
      <c r="D49" s="124" t="s">
        <v>9</v>
      </c>
      <c r="E49" s="124" t="s">
        <v>10</v>
      </c>
      <c r="F49" s="124" t="s">
        <v>11</v>
      </c>
      <c r="G49" s="124" t="s">
        <v>0</v>
      </c>
      <c r="H49" s="124" t="s">
        <v>12</v>
      </c>
      <c r="I49" s="124" t="s">
        <v>13</v>
      </c>
      <c r="J49" s="124" t="s">
        <v>14</v>
      </c>
      <c r="K49" s="124" t="s">
        <v>15</v>
      </c>
      <c r="L49" s="124" t="s">
        <v>301</v>
      </c>
    </row>
    <row r="50" spans="1:12" hidden="1">
      <c r="A50" t="s">
        <v>35</v>
      </c>
      <c r="G50" s="13">
        <f>return_total_fy17*(F59+G51/2+G53/2+G57/2)-G17</f>
        <v>3474.2021675152187</v>
      </c>
      <c r="H50" s="13">
        <f>return_total*(G59+H51/2+H53/2+H57/2)-H17</f>
        <v>3726.5596091318625</v>
      </c>
      <c r="I50" s="13">
        <f>return_total*(H59+I51/2+I53/2+I57/2)-I17</f>
        <v>3815.5657522435245</v>
      </c>
      <c r="J50" s="13">
        <f>return_total*(I59+J51/2+J53/2+J57/2)-J17</f>
        <v>3901.2466438262886</v>
      </c>
      <c r="K50" s="13">
        <f>return_total*(J59+K51/2+K53/2+K57/2)-K17</f>
        <v>3986.2453050608474</v>
      </c>
      <c r="L50" s="13">
        <f>return_total*(K59+L51/2+L53/2+L57/2)-L17</f>
        <v>4070.5665457236737</v>
      </c>
    </row>
    <row r="51" spans="1:12" hidden="1">
      <c r="A51" t="s">
        <v>488</v>
      </c>
      <c r="G51" s="13">
        <f>G24</f>
        <v>264.16917955877489</v>
      </c>
      <c r="H51" s="13">
        <f>IF(delay_SB128,H$24,0.25*'HB61'!C$23)</f>
        <v>234.4628204379884</v>
      </c>
      <c r="I51" s="13">
        <f>IF(delay_SB128,I$24,0.25*'HB61'!D$23)</f>
        <v>255.91982408751161</v>
      </c>
      <c r="J51" s="13">
        <f>IF(delay_SB128,J$24,0.25*'HB61'!E$23)</f>
        <v>262.39914369288925</v>
      </c>
      <c r="K51" s="13">
        <f>IF(delay_SB128,K$24,0.25*'HB61'!F$23)</f>
        <v>270.17478133066641</v>
      </c>
      <c r="L51" s="13">
        <f>IF(delay_SB128,L$24,0.25*'HB61'!G$23)</f>
        <v>275.81399194636708</v>
      </c>
    </row>
    <row r="52" spans="1:12" hidden="1">
      <c r="A52" t="s">
        <v>26</v>
      </c>
      <c r="G52" s="1">
        <f>-G$18</f>
        <v>-23</v>
      </c>
      <c r="H52" s="1">
        <f t="shared" ref="H52:L52" si="10">-H$18</f>
        <v>-26</v>
      </c>
      <c r="I52" s="1">
        <f t="shared" si="10"/>
        <v>-26</v>
      </c>
      <c r="J52" s="1">
        <f t="shared" si="10"/>
        <v>-26</v>
      </c>
      <c r="K52" s="1">
        <f t="shared" si="10"/>
        <v>-26</v>
      </c>
      <c r="L52" s="1">
        <f t="shared" si="10"/>
        <v>-26</v>
      </c>
    </row>
    <row r="53" spans="1:12" hidden="1">
      <c r="A53" t="s">
        <v>489</v>
      </c>
      <c r="G53" s="1"/>
      <c r="H53" s="1">
        <f>-('HB61'!C58+'HB61'!C59)</f>
        <v>-2525.67</v>
      </c>
      <c r="I53" s="1">
        <f>-('HB61'!D58+'HB61'!D59)</f>
        <v>-2695.2593991442768</v>
      </c>
      <c r="J53" s="1">
        <f>-('HB61'!E58+'HB61'!E59)</f>
        <v>-2832.1869987990372</v>
      </c>
      <c r="K53" s="1">
        <f>-('HB61'!F58+'HB61'!F59)</f>
        <v>-2916.5014733142589</v>
      </c>
      <c r="L53" s="1">
        <f>-('HB61'!G58+'HB61'!G59)</f>
        <v>-2997.8702651110416</v>
      </c>
    </row>
    <row r="54" spans="1:12" hidden="1">
      <c r="A54" t="s">
        <v>582</v>
      </c>
      <c r="G54" s="1">
        <f>G26</f>
        <v>-696</v>
      </c>
      <c r="H54" s="1">
        <f>IF(delay_SB128,H26,0)</f>
        <v>0</v>
      </c>
      <c r="I54" s="1"/>
      <c r="J54" s="1"/>
      <c r="K54" s="1"/>
      <c r="L54" s="1"/>
    </row>
    <row r="55" spans="1:12" hidden="1">
      <c r="A55" t="s">
        <v>243</v>
      </c>
      <c r="G55" s="1"/>
      <c r="H55" s="1">
        <f>IF(delay_SB128,0,-'HB61'!C114)</f>
        <v>0</v>
      </c>
      <c r="I55" s="1">
        <f>-'HB61'!D114</f>
        <v>0</v>
      </c>
      <c r="J55" s="1">
        <f>-'HB61'!E114</f>
        <v>0</v>
      </c>
      <c r="K55" s="1">
        <f>-'HB61'!F114</f>
        <v>0</v>
      </c>
      <c r="L55" s="1">
        <f>-'HB61'!G114</f>
        <v>0</v>
      </c>
    </row>
    <row r="56" spans="1:12" s="149" customFormat="1" hidden="1">
      <c r="A56" s="149" t="s">
        <v>722</v>
      </c>
      <c r="G56" s="1">
        <f>-'HB61'!$B$46</f>
        <v>0</v>
      </c>
      <c r="H56" s="1"/>
      <c r="I56" s="1"/>
      <c r="J56" s="1"/>
      <c r="K56" s="1"/>
      <c r="L56" s="1"/>
    </row>
    <row r="57" spans="1:12" hidden="1">
      <c r="A57" t="s">
        <v>23</v>
      </c>
      <c r="G57" s="1">
        <f>-'HB61'!B82</f>
        <v>0</v>
      </c>
      <c r="H57" s="1">
        <f>-'HB61'!C82</f>
        <v>0</v>
      </c>
      <c r="I57" s="1">
        <f>-'HB61'!D82</f>
        <v>0</v>
      </c>
      <c r="J57" s="1">
        <f>-'HB61'!E82</f>
        <v>0</v>
      </c>
      <c r="K57" s="1">
        <f>-'HB61'!F82</f>
        <v>0</v>
      </c>
      <c r="L57" s="1">
        <f>-'HB61'!G82</f>
        <v>0</v>
      </c>
    </row>
    <row r="58" spans="1:12" hidden="1">
      <c r="A58" s="31" t="s">
        <v>40</v>
      </c>
      <c r="B58" s="31"/>
      <c r="C58" s="31"/>
      <c r="D58" s="31"/>
      <c r="E58" s="31"/>
      <c r="F58" s="31"/>
      <c r="G58" s="31"/>
      <c r="H58" s="2">
        <f>IF(delay_SB128,0,-'HB61'!C121)</f>
        <v>0</v>
      </c>
      <c r="I58" s="2">
        <f>-'HB61'!D121</f>
        <v>0</v>
      </c>
      <c r="J58" s="2">
        <f>-'HB61'!E121</f>
        <v>0</v>
      </c>
      <c r="K58" s="2">
        <f>-'HB61'!F121</f>
        <v>0</v>
      </c>
      <c r="L58" s="2">
        <f>-'HB61'!G121</f>
        <v>0</v>
      </c>
    </row>
    <row r="59" spans="1:12" hidden="1">
      <c r="A59" t="s">
        <v>16</v>
      </c>
      <c r="B59" s="50">
        <f>B28</f>
        <v>40333</v>
      </c>
      <c r="C59" s="50">
        <f>C28</f>
        <v>44853</v>
      </c>
      <c r="D59" s="50">
        <f>D28</f>
        <v>51214</v>
      </c>
      <c r="E59" s="50">
        <f>E28</f>
        <v>52800</v>
      </c>
      <c r="F59" s="50">
        <f>F28</f>
        <v>53465</v>
      </c>
      <c r="G59" s="13">
        <f t="shared" ref="G59:L59" si="11">F59+SUM(G50:G58)</f>
        <v>56484.371347073997</v>
      </c>
      <c r="H59" s="13">
        <f t="shared" si="11"/>
        <v>57893.723776643848</v>
      </c>
      <c r="I59" s="13">
        <f t="shared" si="11"/>
        <v>59243.949953830604</v>
      </c>
      <c r="J59" s="13">
        <f t="shared" si="11"/>
        <v>60549.408742550746</v>
      </c>
      <c r="K59" s="13">
        <f t="shared" si="11"/>
        <v>61863.327355628004</v>
      </c>
      <c r="L59" s="13">
        <f t="shared" si="11"/>
        <v>63185.837628187001</v>
      </c>
    </row>
    <row r="60" spans="1:12" hidden="1">
      <c r="A60" t="s">
        <v>263</v>
      </c>
      <c r="G60" s="15"/>
      <c r="H60" s="15">
        <f>AVERAGE(B59:F59)</f>
        <v>48533</v>
      </c>
      <c r="I60" s="15">
        <f t="shared" ref="I60:L60" si="12">AVERAGE(C59:G59)</f>
        <v>51763.274269414796</v>
      </c>
      <c r="J60" s="15">
        <f t="shared" si="12"/>
        <v>54371.419024743569</v>
      </c>
      <c r="K60" s="15">
        <f t="shared" si="12"/>
        <v>55977.409015509693</v>
      </c>
      <c r="L60" s="15">
        <f t="shared" si="12"/>
        <v>57527.290764019839</v>
      </c>
    </row>
    <row r="61" spans="1:12" hidden="1">
      <c r="G61" s="20"/>
      <c r="H61" s="20"/>
      <c r="I61" s="20"/>
      <c r="J61" s="20"/>
      <c r="K61" s="20"/>
      <c r="L61" s="20"/>
    </row>
    <row r="62" spans="1:12" s="149" customFormat="1" hidden="1">
      <c r="A62" s="26" t="s">
        <v>564</v>
      </c>
      <c r="F62" s="36"/>
      <c r="G62" s="13"/>
      <c r="H62" s="20"/>
      <c r="I62" s="20"/>
      <c r="J62" s="20"/>
      <c r="K62" s="20"/>
      <c r="L62" s="20"/>
    </row>
    <row r="63" spans="1:12" s="149" customFormat="1" hidden="1">
      <c r="A63" s="149" t="s">
        <v>565</v>
      </c>
      <c r="F63" s="13"/>
      <c r="G63" s="13">
        <f>G50-G70-G$18</f>
        <v>680.68297429019822</v>
      </c>
      <c r="H63" s="13">
        <f t="shared" ref="H63:L63" si="13">H50-H70-H$18</f>
        <v>392.90525107678059</v>
      </c>
      <c r="I63" s="13">
        <f t="shared" si="13"/>
        <v>402.38578332272027</v>
      </c>
      <c r="J63" s="13">
        <f t="shared" si="13"/>
        <v>411.5092977865711</v>
      </c>
      <c r="K63" s="13">
        <f t="shared" si="13"/>
        <v>420.50634231556933</v>
      </c>
      <c r="L63" s="13">
        <f t="shared" si="13"/>
        <v>429.56632445522473</v>
      </c>
    </row>
    <row r="64" spans="1:12" s="149" customFormat="1" hidden="1">
      <c r="A64" s="149" t="s">
        <v>566</v>
      </c>
      <c r="F64" s="13">
        <f>F$33</f>
        <v>5671</v>
      </c>
      <c r="G64" s="13">
        <f>F64+G63</f>
        <v>6351.6829742901982</v>
      </c>
      <c r="H64" s="13">
        <f t="shared" ref="H64:L64" si="14">G64+H63</f>
        <v>6744.5882253669788</v>
      </c>
      <c r="I64" s="13">
        <f t="shared" si="14"/>
        <v>7146.9740086896991</v>
      </c>
      <c r="J64" s="13">
        <f t="shared" si="14"/>
        <v>7558.4833064762697</v>
      </c>
      <c r="K64" s="13">
        <f t="shared" si="14"/>
        <v>7978.9896487918395</v>
      </c>
      <c r="L64" s="13">
        <f t="shared" si="14"/>
        <v>8408.5559732470647</v>
      </c>
    </row>
    <row r="65" spans="1:12" s="149" customFormat="1" hidden="1">
      <c r="A65" s="149" t="s">
        <v>567</v>
      </c>
      <c r="F65" s="13">
        <f>F$34</f>
        <v>39449</v>
      </c>
      <c r="G65" s="13">
        <f>F65+G51-G73-G72</f>
        <v>39713.169179558776</v>
      </c>
      <c r="H65" s="13">
        <f t="shared" ref="H65:L65" si="15">G65+H51-H73-H72</f>
        <v>42297.405409555155</v>
      </c>
      <c r="I65" s="13">
        <f t="shared" si="15"/>
        <v>42553.325233642667</v>
      </c>
      <c r="J65" s="13">
        <f t="shared" si="15"/>
        <v>42902.255903270503</v>
      </c>
      <c r="K65" s="13">
        <f t="shared" si="15"/>
        <v>43588.176057818528</v>
      </c>
      <c r="L65" s="13">
        <f t="shared" si="15"/>
        <v>44241.240920807038</v>
      </c>
    </row>
    <row r="66" spans="1:12" s="149" customFormat="1" hidden="1">
      <c r="A66" s="149" t="s">
        <v>568</v>
      </c>
      <c r="F66" s="13">
        <f>F$35</f>
        <v>8345</v>
      </c>
      <c r="G66" s="13">
        <f>G59-G64-G65</f>
        <v>10419.519193225024</v>
      </c>
      <c r="H66" s="13">
        <f t="shared" ref="H66:L66" si="16">H59-H64-H65</f>
        <v>8851.7301417217168</v>
      </c>
      <c r="I66" s="13">
        <f t="shared" si="16"/>
        <v>9543.6507114982378</v>
      </c>
      <c r="J66" s="13">
        <f t="shared" si="16"/>
        <v>10088.669532803971</v>
      </c>
      <c r="K66" s="13">
        <f t="shared" si="16"/>
        <v>10296.161649017638</v>
      </c>
      <c r="L66" s="13">
        <f t="shared" si="16"/>
        <v>10536.040734132897</v>
      </c>
    </row>
    <row r="67" spans="1:12" s="149" customFormat="1" hidden="1">
      <c r="A67" s="149" t="s">
        <v>569</v>
      </c>
      <c r="F67" s="13">
        <f>F66/(F66+F65)*F64</f>
        <v>990.17648658827466</v>
      </c>
      <c r="G67" s="13">
        <f t="shared" ref="G67" si="17">G66/(G66+G65)*G64</f>
        <v>1320.1263448665591</v>
      </c>
      <c r="H67" s="13">
        <f t="shared" ref="H67" si="18">H66/(H66+H65)*H64</f>
        <v>1167.2000757106032</v>
      </c>
      <c r="I67" s="13">
        <f t="shared" ref="I67" si="19">I66/(I66+I65)*I64</f>
        <v>1309.2549489804437</v>
      </c>
      <c r="J67" s="13">
        <f t="shared" ref="J67" si="20">J66/(J66+J65)*J64</f>
        <v>1439.020730827672</v>
      </c>
      <c r="K67" s="13">
        <f t="shared" ref="K67" si="21">K66/(K66+K65)*K64</f>
        <v>1524.6168128995437</v>
      </c>
      <c r="L67" s="13">
        <f t="shared" ref="L67" si="22">L66/(L66+L65)*L64</f>
        <v>1617.3290381118807</v>
      </c>
    </row>
    <row r="68" spans="1:12" s="149" customFormat="1" hidden="1">
      <c r="F68" s="13"/>
      <c r="G68" s="13"/>
      <c r="H68" s="20"/>
      <c r="I68" s="20"/>
      <c r="J68" s="20"/>
      <c r="K68" s="20"/>
      <c r="L68" s="20"/>
    </row>
    <row r="69" spans="1:12" hidden="1">
      <c r="A69" s="26" t="s">
        <v>32</v>
      </c>
      <c r="F69" s="12"/>
      <c r="G69" s="1"/>
      <c r="H69" s="1"/>
      <c r="I69" s="1"/>
      <c r="J69" s="1"/>
      <c r="K69" s="1"/>
      <c r="L69" s="1"/>
    </row>
    <row r="70" spans="1:12" hidden="1">
      <c r="A70" t="s">
        <v>27</v>
      </c>
      <c r="B70" s="15">
        <f>B39</f>
        <v>1568</v>
      </c>
      <c r="C70" s="15">
        <f>C39</f>
        <v>2928</v>
      </c>
      <c r="D70" s="15">
        <f>D39</f>
        <v>3531</v>
      </c>
      <c r="E70" s="15">
        <f>E39</f>
        <v>2907</v>
      </c>
      <c r="F70" s="15">
        <f>F39</f>
        <v>2198</v>
      </c>
      <c r="G70" s="1">
        <f>return_stat_fy17*(F59+G51/2+G53/2+G57/2)-SUM(G17:G18)</f>
        <v>2770.5191932250204</v>
      </c>
      <c r="H70" s="1">
        <f>return_stat*(G59+H51/2+H53/2+H57/2)-SUM(H17:H18)</f>
        <v>3307.654358055082</v>
      </c>
      <c r="I70" s="1">
        <f>return_stat*(H59+I51/2+I53/2+I57/2)-SUM(I17:I18)</f>
        <v>3387.1799689208042</v>
      </c>
      <c r="J70" s="1">
        <f>return_stat*(I59+J51/2+J53/2+J57/2)-SUM(J17:J18)</f>
        <v>3463.7373460397175</v>
      </c>
      <c r="K70" s="1">
        <f>return_stat*(J59+K51/2+K53/2+K57/2)-SUM(K17:K18)</f>
        <v>3539.7389627452781</v>
      </c>
      <c r="L70" s="1">
        <f>return_stat*(K59+L51/2+L53/2+L57/2)-SUM(L17:L18)</f>
        <v>3615.000221268449</v>
      </c>
    </row>
    <row r="71" spans="1:12" s="149" customFormat="1" hidden="1">
      <c r="A71" s="149" t="s">
        <v>584</v>
      </c>
      <c r="B71" s="15"/>
      <c r="C71" s="15"/>
      <c r="D71" s="15"/>
      <c r="E71" s="15"/>
      <c r="F71" s="15"/>
      <c r="G71" s="1">
        <f>G67-F67</f>
        <v>329.94985827828441</v>
      </c>
      <c r="H71" s="1">
        <f t="shared" ref="H71:L71" si="23">H67-G67</f>
        <v>-152.92626915595588</v>
      </c>
      <c r="I71" s="1">
        <f t="shared" si="23"/>
        <v>142.05487326984053</v>
      </c>
      <c r="J71" s="1">
        <f t="shared" si="23"/>
        <v>129.76578184722825</v>
      </c>
      <c r="K71" s="1">
        <f t="shared" si="23"/>
        <v>85.596082071871706</v>
      </c>
      <c r="L71" s="1">
        <f t="shared" si="23"/>
        <v>92.712225212336989</v>
      </c>
    </row>
    <row r="72" spans="1:12" hidden="1">
      <c r="A72" t="s">
        <v>589</v>
      </c>
      <c r="B72" s="15"/>
      <c r="C72" s="15"/>
      <c r="D72" s="15"/>
      <c r="E72" s="15"/>
      <c r="F72" s="15"/>
      <c r="G72" s="1"/>
      <c r="H72" s="1">
        <f>IF(delay_SB128,0,-MAX(G81+H70+('HB61'!$B$45+1)*(H74+H76+H79), 0))</f>
        <v>-2349.7734095583874</v>
      </c>
      <c r="I72" s="1">
        <f>-MAX(H81+I70+('HB61'!$B$45+1)*(I74+I76+I79), 0)</f>
        <v>0</v>
      </c>
      <c r="J72" s="1">
        <f>-MAX(I81+J70+('HB61'!$B$45+1)*(J74+J76+J79), 0)</f>
        <v>-86.531525934942692</v>
      </c>
      <c r="K72" s="1">
        <f>-MAX(J81+K70+('HB61'!$B$45+1)*(K74+K76+K79), 0)</f>
        <v>-415.74537321735988</v>
      </c>
      <c r="L72" s="1">
        <f>-MAX(K81+L70+('HB61'!$B$45+1)*(L74+L76+L79), 0)</f>
        <v>-377.25087104214799</v>
      </c>
    </row>
    <row r="73" spans="1:12" hidden="1">
      <c r="A73" t="s">
        <v>280</v>
      </c>
      <c r="B73" s="15"/>
      <c r="C73" s="15"/>
      <c r="D73" s="15"/>
      <c r="E73" s="15"/>
      <c r="F73" s="15"/>
      <c r="G73" s="1">
        <f>IF(delay_SB128,G42,0)</f>
        <v>0</v>
      </c>
      <c r="H73" s="1"/>
      <c r="I73" s="1"/>
      <c r="J73" s="1"/>
      <c r="K73" s="1"/>
      <c r="L73" s="1"/>
    </row>
    <row r="74" spans="1:12" hidden="1">
      <c r="A74" t="s">
        <v>489</v>
      </c>
      <c r="G74" s="1"/>
      <c r="H74" s="1">
        <f>H53</f>
        <v>-2525.67</v>
      </c>
      <c r="I74" s="1">
        <f>I53</f>
        <v>-2695.2593991442768</v>
      </c>
      <c r="J74" s="1">
        <f>J53</f>
        <v>-2832.1869987990372</v>
      </c>
      <c r="K74" s="1">
        <f>K53</f>
        <v>-2916.5014733142589</v>
      </c>
      <c r="L74" s="1">
        <f>L53</f>
        <v>-2997.8702651110416</v>
      </c>
    </row>
    <row r="75" spans="1:12" hidden="1">
      <c r="A75" t="str">
        <f>A54</f>
        <v>Conventional Dividend Funding</v>
      </c>
      <c r="G75" s="1">
        <f>G54</f>
        <v>-696</v>
      </c>
      <c r="H75" s="1">
        <f>H54</f>
        <v>0</v>
      </c>
      <c r="I75" s="1"/>
      <c r="J75" s="1"/>
      <c r="K75" s="1"/>
      <c r="L75" s="1"/>
    </row>
    <row r="76" spans="1:12" hidden="1">
      <c r="A76" t="s">
        <v>243</v>
      </c>
      <c r="G76" s="1"/>
      <c r="H76" s="1">
        <f>H55</f>
        <v>0</v>
      </c>
      <c r="I76" s="1">
        <f>I55</f>
        <v>0</v>
      </c>
      <c r="J76" s="1">
        <f>J55</f>
        <v>0</v>
      </c>
      <c r="K76" s="1">
        <f>K55</f>
        <v>0</v>
      </c>
      <c r="L76" s="1">
        <f>L55</f>
        <v>0</v>
      </c>
    </row>
    <row r="77" spans="1:12" s="149" customFormat="1" hidden="1">
      <c r="A77" s="149" t="s">
        <v>722</v>
      </c>
      <c r="G77" s="1">
        <f>G56</f>
        <v>0</v>
      </c>
      <c r="H77" s="1"/>
      <c r="I77" s="1"/>
      <c r="J77" s="1"/>
      <c r="K77" s="1"/>
      <c r="L77" s="1"/>
    </row>
    <row r="78" spans="1:12" hidden="1">
      <c r="A78" t="s">
        <v>23</v>
      </c>
      <c r="G78" s="1">
        <f>G57</f>
        <v>0</v>
      </c>
      <c r="H78" s="1">
        <f t="shared" ref="H78:L79" si="24">H57</f>
        <v>0</v>
      </c>
      <c r="I78" s="1">
        <f t="shared" si="24"/>
        <v>0</v>
      </c>
      <c r="J78" s="1">
        <f t="shared" si="24"/>
        <v>0</v>
      </c>
      <c r="K78" s="1">
        <f t="shared" si="24"/>
        <v>0</v>
      </c>
      <c r="L78" s="1">
        <f t="shared" si="24"/>
        <v>0</v>
      </c>
    </row>
    <row r="79" spans="1:12" hidden="1">
      <c r="A79" s="31" t="s">
        <v>40</v>
      </c>
      <c r="B79" s="31"/>
      <c r="C79" s="31"/>
      <c r="D79" s="31"/>
      <c r="E79" s="31"/>
      <c r="F79" s="31"/>
      <c r="G79" s="2"/>
      <c r="H79" s="2">
        <f t="shared" si="24"/>
        <v>0</v>
      </c>
      <c r="I79" s="2">
        <f t="shared" si="24"/>
        <v>0</v>
      </c>
      <c r="J79" s="2">
        <f t="shared" si="24"/>
        <v>0</v>
      </c>
      <c r="K79" s="2">
        <f t="shared" si="24"/>
        <v>0</v>
      </c>
      <c r="L79" s="2">
        <f t="shared" si="24"/>
        <v>0</v>
      </c>
    </row>
    <row r="80" spans="1:12" hidden="1">
      <c r="A80" s="31" t="s">
        <v>158</v>
      </c>
      <c r="B80" s="5"/>
      <c r="C80" s="5"/>
      <c r="D80" s="5"/>
      <c r="E80" s="5"/>
      <c r="F80" s="5"/>
      <c r="G80" s="7">
        <f t="shared" ref="G80:L80" si="25">SUM(G70:G79)</f>
        <v>2404.4690515033049</v>
      </c>
      <c r="H80" s="7">
        <f t="shared" si="25"/>
        <v>-1720.7153206592611</v>
      </c>
      <c r="I80" s="7">
        <f t="shared" si="25"/>
        <v>833.97544304636767</v>
      </c>
      <c r="J80" s="7">
        <f t="shared" si="25"/>
        <v>674.7846031529657</v>
      </c>
      <c r="K80" s="7">
        <f t="shared" si="25"/>
        <v>293.08819828553078</v>
      </c>
      <c r="L80" s="7">
        <f t="shared" si="25"/>
        <v>332.59131032759615</v>
      </c>
    </row>
    <row r="81" spans="1:12" hidden="1">
      <c r="A81" s="106" t="s">
        <v>16</v>
      </c>
      <c r="B81" s="107"/>
      <c r="C81" s="107"/>
      <c r="D81" s="107"/>
      <c r="E81" s="107"/>
      <c r="F81" s="108">
        <f>F45</f>
        <v>9266</v>
      </c>
      <c r="G81" s="109">
        <f>MAX(0,F81+G80)</f>
        <v>11670.469051503305</v>
      </c>
      <c r="H81" s="109">
        <f>MAX(0,G81+H80)</f>
        <v>9949.7537308440442</v>
      </c>
      <c r="I81" s="109">
        <f t="shared" ref="I81:K81" si="26">MAX(0,H81+I80)</f>
        <v>10783.729173890411</v>
      </c>
      <c r="J81" s="109">
        <f t="shared" si="26"/>
        <v>11458.513777043378</v>
      </c>
      <c r="K81" s="109">
        <f t="shared" si="26"/>
        <v>11751.601975328907</v>
      </c>
      <c r="L81" s="109">
        <f>MAX(0,K81+L80)</f>
        <v>12084.193285656504</v>
      </c>
    </row>
    <row r="82" spans="1:12" hidden="1">
      <c r="A82" s="33"/>
      <c r="B82" s="5"/>
      <c r="C82" s="5"/>
      <c r="D82" s="5"/>
      <c r="E82" s="5"/>
      <c r="F82" s="50"/>
      <c r="G82" s="7"/>
      <c r="H82" s="7"/>
      <c r="I82" s="7"/>
      <c r="J82" s="7"/>
      <c r="K82" s="7"/>
      <c r="L82" s="7"/>
    </row>
    <row r="83" spans="1:12" hidden="1">
      <c r="A83" s="33" t="s">
        <v>81</v>
      </c>
      <c r="C83" s="28">
        <v>878</v>
      </c>
      <c r="D83" s="28">
        <v>900</v>
      </c>
      <c r="E83" s="28">
        <v>1884</v>
      </c>
      <c r="F83" s="28">
        <v>2072</v>
      </c>
      <c r="G83" s="28">
        <v>1036</v>
      </c>
      <c r="H83" s="7">
        <f>'HB61'!C107</f>
        <v>1000.0000000000001</v>
      </c>
      <c r="I83" s="7">
        <f>'HB61'!D107</f>
        <v>1000</v>
      </c>
      <c r="J83" s="7">
        <f>'HB61'!E107</f>
        <v>1030.6033387169769</v>
      </c>
      <c r="K83" s="7">
        <f>'HB61'!F107</f>
        <v>1052.210750821303</v>
      </c>
      <c r="L83" s="7">
        <f>'HB61'!G107</f>
        <v>1073.631275698584</v>
      </c>
    </row>
    <row r="84" spans="1:12" s="149" customFormat="1" hidden="1">
      <c r="A84" s="33"/>
      <c r="C84" s="28"/>
      <c r="D84" s="28"/>
      <c r="E84" s="28"/>
      <c r="F84" s="28"/>
      <c r="G84" s="28"/>
      <c r="H84" s="7"/>
      <c r="I84" s="7"/>
      <c r="J84" s="7"/>
      <c r="K84" s="7"/>
      <c r="L84" s="7"/>
    </row>
    <row r="85" spans="1:12" ht="18.75" hidden="1">
      <c r="A85" s="27" t="s">
        <v>571</v>
      </c>
      <c r="B85" s="27"/>
    </row>
    <row r="86" spans="1:12" hidden="1"/>
    <row r="87" spans="1:12" hidden="1">
      <c r="A87" s="26" t="s">
        <v>244</v>
      </c>
      <c r="B87" s="124" t="s">
        <v>7</v>
      </c>
      <c r="C87" s="124" t="s">
        <v>8</v>
      </c>
      <c r="D87" s="124" t="s">
        <v>9</v>
      </c>
      <c r="E87" s="124" t="s">
        <v>10</v>
      </c>
      <c r="F87" s="124" t="s">
        <v>11</v>
      </c>
      <c r="G87" s="124" t="s">
        <v>0</v>
      </c>
      <c r="H87" s="124" t="s">
        <v>12</v>
      </c>
      <c r="I87" s="124" t="s">
        <v>13</v>
      </c>
      <c r="J87" s="124" t="s">
        <v>14</v>
      </c>
      <c r="K87" s="124" t="s">
        <v>15</v>
      </c>
      <c r="L87" s="124" t="s">
        <v>301</v>
      </c>
    </row>
    <row r="88" spans="1:12" hidden="1">
      <c r="A88" t="s">
        <v>35</v>
      </c>
      <c r="G88" s="13">
        <f>return_total_fy17*(F96+G89/2)-G$17</f>
        <v>3474.2021675152187</v>
      </c>
      <c r="H88" s="13">
        <f>return_total*(G96+H89/2)-H$17</f>
        <v>3696.8716416318625</v>
      </c>
      <c r="I88" s="13">
        <f>return_total*(H96+I89/2)-I$17</f>
        <v>3788.441211072538</v>
      </c>
      <c r="J88" s="13">
        <f>return_total*(I96+J89/2)-J$17</f>
        <v>3878.228458631922</v>
      </c>
      <c r="K88" s="13">
        <f>return_total*(J96+K89/2)-K$17</f>
        <v>3976.3128723433374</v>
      </c>
      <c r="L88" s="13">
        <f>return_total*(K96+L89/2)-L$17</f>
        <v>4076.020370400618</v>
      </c>
    </row>
    <row r="89" spans="1:12" hidden="1">
      <c r="A89" t="s">
        <v>358</v>
      </c>
      <c r="G89" s="13">
        <f>G$24</f>
        <v>264.16917955877489</v>
      </c>
      <c r="H89" s="13">
        <f>IF(reduce_royalty_HB365, 0.25*'HB61'!C23,H24)</f>
        <v>234.4628204379884</v>
      </c>
      <c r="I89" s="13">
        <f>IF(reduce_royalty_HB365, 0.25*'HB61'!D23,I24)</f>
        <v>255.91982408751161</v>
      </c>
      <c r="J89" s="13">
        <f>IF(reduce_royalty_HB365, 0.25*'HB61'!E23,J24)</f>
        <v>262.39914369288925</v>
      </c>
      <c r="K89" s="13">
        <f>IF(reduce_royalty_HB365, 0.25*'HB61'!F23,K24)</f>
        <v>270.17478133066641</v>
      </c>
      <c r="L89" s="13">
        <f>IF(reduce_royalty_HB365, 0.25*'HB61'!G23,L24)</f>
        <v>275.81399194636708</v>
      </c>
    </row>
    <row r="90" spans="1:12" hidden="1">
      <c r="A90" t="s">
        <v>26</v>
      </c>
      <c r="G90" s="1">
        <f>-G$18</f>
        <v>-23</v>
      </c>
      <c r="H90" s="1">
        <f t="shared" ref="H90:L90" si="27">-H$18</f>
        <v>-26</v>
      </c>
      <c r="I90" s="1">
        <f t="shared" si="27"/>
        <v>-26</v>
      </c>
      <c r="J90" s="1">
        <f t="shared" si="27"/>
        <v>-26</v>
      </c>
      <c r="K90" s="1">
        <f t="shared" si="27"/>
        <v>-26</v>
      </c>
      <c r="L90" s="1">
        <f t="shared" si="27"/>
        <v>-26</v>
      </c>
    </row>
    <row r="91" spans="1:12" hidden="1">
      <c r="A91" t="s">
        <v>479</v>
      </c>
      <c r="G91" s="1">
        <f>G$26</f>
        <v>-696</v>
      </c>
      <c r="H91" s="1">
        <f>-0.21*SUM(C106:G106)*IF(delay_HB365,0.5,0)</f>
        <v>0</v>
      </c>
      <c r="I91" s="1"/>
      <c r="J91" s="1"/>
      <c r="K91" s="1"/>
      <c r="L91" s="1"/>
    </row>
    <row r="92" spans="1:12" hidden="1">
      <c r="A92" t="s">
        <v>248</v>
      </c>
      <c r="G92" s="1"/>
      <c r="H92" s="1">
        <f>IF(delay_HB365, 0, -(AVERAGE(B96:F96)-425)*'HB 115'!C21)</f>
        <v>-2525.67</v>
      </c>
      <c r="I92" s="1">
        <f>-(AVERAGE(C96:G96)-425)*'HB 115'!D21</f>
        <v>-2677.5143991442769</v>
      </c>
      <c r="J92" s="1">
        <f>-(AVERAGE(D96:H96)-425)*'HB 115'!E21</f>
        <v>-2663.0418425621788</v>
      </c>
      <c r="K92" s="1">
        <f>-(AVERAGE(E96:I96)-425)*'HB 115'!F21</f>
        <v>-2725.8684380137747</v>
      </c>
      <c r="L92" s="1">
        <f>-(AVERAGE(F96:J96)-425)*'HB 115'!G21</f>
        <v>-2787.3508910629971</v>
      </c>
    </row>
    <row r="93" spans="1:12" s="149" customFormat="1" hidden="1">
      <c r="A93" s="149" t="s">
        <v>714</v>
      </c>
      <c r="G93" s="1"/>
      <c r="H93" s="1">
        <f>-'HB 115'!C83</f>
        <v>-18.222899999999868</v>
      </c>
      <c r="I93" s="1">
        <f>-'HB 115'!D83</f>
        <v>0</v>
      </c>
      <c r="J93" s="1">
        <f>-'HB 115'!E83</f>
        <v>0</v>
      </c>
      <c r="K93" s="1">
        <f>-'HB 115'!F83</f>
        <v>0</v>
      </c>
      <c r="L93" s="1">
        <f>-'HB 115'!G83</f>
        <v>0</v>
      </c>
    </row>
    <row r="94" spans="1:12" s="149" customFormat="1" hidden="1">
      <c r="A94" s="149" t="s">
        <v>722</v>
      </c>
      <c r="G94" s="1">
        <f>-'HB 115'!$B$29</f>
        <v>-1690</v>
      </c>
      <c r="H94" s="1"/>
      <c r="I94" s="1"/>
      <c r="J94" s="1"/>
      <c r="K94" s="1"/>
      <c r="L94" s="1"/>
    </row>
    <row r="95" spans="1:12" hidden="1">
      <c r="A95" s="31" t="s">
        <v>23</v>
      </c>
      <c r="B95" s="31"/>
      <c r="C95" s="31"/>
      <c r="D95" s="31"/>
      <c r="E95" s="31"/>
      <c r="F95" s="31"/>
      <c r="G95" s="2">
        <f>-'HB 115'!B61</f>
        <v>0</v>
      </c>
      <c r="H95" s="2">
        <f>-'HB 115'!C61</f>
        <v>0</v>
      </c>
      <c r="I95" s="2">
        <f>-'HB 115'!D61</f>
        <v>0</v>
      </c>
      <c r="J95" s="2">
        <f>-'HB 115'!E61</f>
        <v>0</v>
      </c>
      <c r="K95" s="2">
        <f>-'HB 115'!F61</f>
        <v>0</v>
      </c>
      <c r="L95" s="2">
        <f>-'HB 115'!G61</f>
        <v>0</v>
      </c>
    </row>
    <row r="96" spans="1:12" hidden="1">
      <c r="A96" t="s">
        <v>16</v>
      </c>
      <c r="B96" s="50">
        <f t="shared" ref="B96:E96" si="28">B$28</f>
        <v>40333</v>
      </c>
      <c r="C96" s="50">
        <f t="shared" si="28"/>
        <v>44853</v>
      </c>
      <c r="D96" s="50">
        <f t="shared" si="28"/>
        <v>51214</v>
      </c>
      <c r="E96" s="50">
        <f t="shared" si="28"/>
        <v>52800</v>
      </c>
      <c r="F96" s="50">
        <f>F$28</f>
        <v>53465</v>
      </c>
      <c r="G96" s="13">
        <f t="shared" ref="G96:L96" si="29">F96+SUM(G88:G95)</f>
        <v>54794.371347073997</v>
      </c>
      <c r="H96" s="13">
        <f t="shared" si="29"/>
        <v>56155.812909143846</v>
      </c>
      <c r="I96" s="13">
        <f t="shared" si="29"/>
        <v>57496.659545159622</v>
      </c>
      <c r="J96" s="13">
        <f t="shared" si="29"/>
        <v>58948.245304922253</v>
      </c>
      <c r="K96" s="13">
        <f t="shared" si="29"/>
        <v>60442.86452058248</v>
      </c>
      <c r="L96" s="13">
        <f t="shared" si="29"/>
        <v>61981.347991866467</v>
      </c>
    </row>
    <row r="97" spans="1:12" hidden="1">
      <c r="H97" s="20"/>
      <c r="I97" s="20"/>
      <c r="J97" s="20"/>
      <c r="K97" s="20"/>
      <c r="L97" s="20"/>
    </row>
    <row r="98" spans="1:12" s="149" customFormat="1" hidden="1">
      <c r="A98" s="26" t="s">
        <v>564</v>
      </c>
      <c r="F98" s="36"/>
      <c r="G98" s="13"/>
      <c r="H98" s="20"/>
      <c r="I98" s="20"/>
      <c r="J98" s="20"/>
      <c r="K98" s="20"/>
      <c r="L98" s="20"/>
    </row>
    <row r="99" spans="1:12" s="149" customFormat="1" hidden="1">
      <c r="A99" s="149" t="s">
        <v>565</v>
      </c>
      <c r="F99" s="13"/>
      <c r="G99" s="13">
        <f t="shared" ref="G99:L99" si="30">G88-G106-G$18</f>
        <v>680.68297429019822</v>
      </c>
      <c r="H99" s="13">
        <f t="shared" si="30"/>
        <v>389.87237957678053</v>
      </c>
      <c r="I99" s="13">
        <f t="shared" si="30"/>
        <v>399.61478703043258</v>
      </c>
      <c r="J99" s="13">
        <f t="shared" si="30"/>
        <v>409.15779973074359</v>
      </c>
      <c r="K99" s="13">
        <f t="shared" si="30"/>
        <v>419.49166213867238</v>
      </c>
      <c r="L99" s="13">
        <f t="shared" si="30"/>
        <v>430.12347776754541</v>
      </c>
    </row>
    <row r="100" spans="1:12" s="149" customFormat="1" hidden="1">
      <c r="A100" s="149" t="s">
        <v>566</v>
      </c>
      <c r="F100" s="13">
        <f>F$33</f>
        <v>5671</v>
      </c>
      <c r="G100" s="13">
        <f>F100+G99</f>
        <v>6351.6829742901982</v>
      </c>
      <c r="H100" s="13">
        <f t="shared" ref="H100:L100" si="31">G100+H99</f>
        <v>6741.5553538669792</v>
      </c>
      <c r="I100" s="13">
        <f t="shared" si="31"/>
        <v>7141.1701408974113</v>
      </c>
      <c r="J100" s="13">
        <f t="shared" si="31"/>
        <v>7550.3279406281545</v>
      </c>
      <c r="K100" s="13">
        <f t="shared" si="31"/>
        <v>7969.8196027668273</v>
      </c>
      <c r="L100" s="13">
        <f t="shared" si="31"/>
        <v>8399.9430805343727</v>
      </c>
    </row>
    <row r="101" spans="1:12" s="149" customFormat="1" hidden="1">
      <c r="A101" s="149" t="s">
        <v>567</v>
      </c>
      <c r="F101" s="13">
        <f>F$34</f>
        <v>39449</v>
      </c>
      <c r="G101" s="13">
        <f>F101+G89-G113-G108-G109</f>
        <v>39713.169179558776</v>
      </c>
      <c r="H101" s="13">
        <f>G101+H89-H113-H108-H109</f>
        <v>40405.216481941803</v>
      </c>
      <c r="I101" s="13">
        <f t="shared" ref="I101:L101" si="32">H101+I89-I113-I108-I109</f>
        <v>40805.352996260895</v>
      </c>
      <c r="J101" s="13">
        <f t="shared" si="32"/>
        <v>42030.927318037764</v>
      </c>
      <c r="K101" s="13">
        <f t="shared" si="32"/>
        <v>42876.400756705814</v>
      </c>
      <c r="L101" s="13">
        <f t="shared" si="32"/>
        <v>43820.402229515887</v>
      </c>
    </row>
    <row r="102" spans="1:12" s="149" customFormat="1" hidden="1">
      <c r="A102" s="149" t="s">
        <v>568</v>
      </c>
      <c r="F102" s="13">
        <f>F$35</f>
        <v>8345</v>
      </c>
      <c r="G102" s="13">
        <f>G96-G100-G101</f>
        <v>8729.5191932250236</v>
      </c>
      <c r="H102" s="13">
        <f t="shared" ref="H102:L102" si="33">H96-H100-H101</f>
        <v>9009.0410733350654</v>
      </c>
      <c r="I102" s="13">
        <f t="shared" si="33"/>
        <v>9550.1364080013154</v>
      </c>
      <c r="J102" s="13">
        <f t="shared" si="33"/>
        <v>9366.9900462563382</v>
      </c>
      <c r="K102" s="13">
        <f t="shared" si="33"/>
        <v>9596.6441611098417</v>
      </c>
      <c r="L102" s="13">
        <f t="shared" si="33"/>
        <v>9761.0026818162078</v>
      </c>
    </row>
    <row r="103" spans="1:12" s="149" customFormat="1" hidden="1">
      <c r="A103" s="149" t="s">
        <v>569</v>
      </c>
      <c r="F103" s="13">
        <f>F102/(F102+F101)*F100</f>
        <v>990.17648658827466</v>
      </c>
      <c r="G103" s="13">
        <f t="shared" ref="G103" si="34">G102/(G102+G101)*G100</f>
        <v>1144.5925132532147</v>
      </c>
      <c r="H103" s="13">
        <f t="shared" ref="H103" si="35">H102/(H102+H101)*H100</f>
        <v>1229.0976751640731</v>
      </c>
      <c r="I103" s="13">
        <f t="shared" ref="I103" si="36">I102/(I102+I101)*I100</f>
        <v>1354.3538105806535</v>
      </c>
      <c r="J103" s="13">
        <f t="shared" ref="J103" si="37">J102/(J102+J101)*J100</f>
        <v>1376.0060775335339</v>
      </c>
      <c r="K103" s="13">
        <f t="shared" ref="K103" si="38">K102/(K102+K101)*K100</f>
        <v>1457.5773690240594</v>
      </c>
      <c r="L103" s="13">
        <f t="shared" ref="L103" si="39">L102/(L102+L101)*L100</f>
        <v>1530.2298823982273</v>
      </c>
    </row>
    <row r="104" spans="1:12" s="149" customFormat="1" hidden="1">
      <c r="H104" s="20"/>
      <c r="I104" s="20"/>
      <c r="J104" s="20"/>
      <c r="K104" s="20"/>
      <c r="L104" s="20"/>
    </row>
    <row r="105" spans="1:12" hidden="1">
      <c r="A105" s="26" t="s">
        <v>32</v>
      </c>
    </row>
    <row r="106" spans="1:12" hidden="1">
      <c r="A106" t="s">
        <v>27</v>
      </c>
      <c r="B106" s="50">
        <f t="shared" ref="B106:E106" si="40">B$39</f>
        <v>1568</v>
      </c>
      <c r="C106" s="50">
        <f t="shared" si="40"/>
        <v>2928</v>
      </c>
      <c r="D106" s="50">
        <f t="shared" si="40"/>
        <v>3531</v>
      </c>
      <c r="E106" s="50">
        <f t="shared" si="40"/>
        <v>2907</v>
      </c>
      <c r="F106" s="50">
        <f>F$39</f>
        <v>2198</v>
      </c>
      <c r="G106" s="15">
        <f>return_stat_fy17*(F96+G89/2)-SUM(G$17:G$18)</f>
        <v>2770.5191932250204</v>
      </c>
      <c r="H106" s="15">
        <f>return_stat*(G96+H89/2)-SUM(H$17:H$18)</f>
        <v>3280.999262055082</v>
      </c>
      <c r="I106" s="15">
        <f>return_stat*(H96+I89/2)-SUM(I$17:I$18)</f>
        <v>3362.8264240421054</v>
      </c>
      <c r="J106" s="15">
        <f>return_stat*(I96+J89/2)-SUM(J$17:J$18)</f>
        <v>3443.0706589011784</v>
      </c>
      <c r="K106" s="15">
        <f>return_stat*(J96+K89/2)-SUM(K$17:K$18)</f>
        <v>3530.821210204665</v>
      </c>
      <c r="L106" s="15">
        <f>return_stat*(K96+L89/2)-SUM(L$17:L$18)</f>
        <v>3619.8968926330726</v>
      </c>
    </row>
    <row r="107" spans="1:12" s="149" customFormat="1" hidden="1">
      <c r="A107" s="149" t="s">
        <v>584</v>
      </c>
      <c r="B107" s="50"/>
      <c r="C107" s="50"/>
      <c r="D107" s="50"/>
      <c r="E107" s="50"/>
      <c r="F107" s="50"/>
      <c r="G107" s="1">
        <f>G103-F103</f>
        <v>154.41602666494009</v>
      </c>
      <c r="H107" s="1">
        <f t="shared" ref="H107:L107" si="41">H103-G103</f>
        <v>84.505161910858305</v>
      </c>
      <c r="I107" s="1">
        <f t="shared" si="41"/>
        <v>125.25613541658049</v>
      </c>
      <c r="J107" s="1">
        <f t="shared" si="41"/>
        <v>21.652266952880382</v>
      </c>
      <c r="K107" s="1">
        <f t="shared" si="41"/>
        <v>81.571291490525482</v>
      </c>
      <c r="L107" s="1">
        <f t="shared" si="41"/>
        <v>72.652513374167938</v>
      </c>
    </row>
    <row r="108" spans="1:12" s="149" customFormat="1" hidden="1">
      <c r="A108" s="149" t="s">
        <v>235</v>
      </c>
      <c r="B108" s="50"/>
      <c r="C108" s="50"/>
      <c r="D108" s="50"/>
      <c r="E108" s="50"/>
      <c r="F108" s="50"/>
      <c r="G108" s="15"/>
      <c r="H108" s="1">
        <f>IF(delay_HB365,0,-MAX(0,G117+H106+H109+('HB 115'!$B$26+1)*(H110+H111)))</f>
        <v>-337.31448194504264</v>
      </c>
      <c r="I108" s="1">
        <f>-MAX(0,H117+I106+I109+('HB 115'!$B$26+1)*(I110+I111))</f>
        <v>-16.716004558044006</v>
      </c>
      <c r="J108" s="1">
        <f>-MAX(0,I117+J106+J109+('HB 115'!$B$26+1)*(J110+J111))</f>
        <v>-830.02308595586328</v>
      </c>
      <c r="K108" s="1">
        <f>-MAX(0,J117+K106+K109+('HB 115'!$B$26+1)*(K110+K111))</f>
        <v>-439.00523543669806</v>
      </c>
      <c r="L108" s="1">
        <f>-MAX(0,K117+L106+L109+('HB 115'!$B$26+1)*(L110+L111))</f>
        <v>-528.81993631056139</v>
      </c>
    </row>
    <row r="109" spans="1:12" s="149" customFormat="1" hidden="1">
      <c r="A109" s="149" t="s">
        <v>710</v>
      </c>
      <c r="B109" s="50"/>
      <c r="C109" s="50"/>
      <c r="D109" s="50"/>
      <c r="E109" s="50"/>
      <c r="F109" s="50"/>
      <c r="G109" s="15"/>
      <c r="H109" s="1">
        <f>IF(delay_HB365, 0, -(AVERAGE(B96:F96)-425)*'HB 115'!$B$28)</f>
        <v>-120.27</v>
      </c>
      <c r="I109" s="1">
        <f>IF(delay_HB365, 0, -(AVERAGE(C96:G96)-425)*'HB 115'!$B$28)</f>
        <v>-127.50068567353699</v>
      </c>
      <c r="J109" s="1">
        <f>IF(delay_HB365, 0, -(AVERAGE(D96:H96)-425)*'HB 115'!$B$28)</f>
        <v>-133.15209212810893</v>
      </c>
      <c r="K109" s="1">
        <f>IF(delay_HB365, 0, -(AVERAGE(E96:I96)-425)*'HB 115'!$B$28)</f>
        <v>-136.29342190068874</v>
      </c>
      <c r="L109" s="1">
        <f>IF(delay_HB365, 0, -(AVERAGE(F96:J96)-425)*'HB 115'!$B$28)</f>
        <v>-139.36754455314983</v>
      </c>
    </row>
    <row r="110" spans="1:12" hidden="1">
      <c r="A110" s="149" t="s">
        <v>479</v>
      </c>
      <c r="G110" s="1">
        <f>G91</f>
        <v>-696</v>
      </c>
      <c r="H110" s="1">
        <f>H91</f>
        <v>0</v>
      </c>
      <c r="I110" s="1"/>
      <c r="J110" s="1"/>
      <c r="K110" s="1"/>
      <c r="L110" s="1"/>
    </row>
    <row r="111" spans="1:12" hidden="1">
      <c r="A111" t="s">
        <v>248</v>
      </c>
      <c r="G111" s="1"/>
      <c r="H111" s="1">
        <f>H92</f>
        <v>-2525.67</v>
      </c>
      <c r="I111" s="1">
        <f>I92</f>
        <v>-2677.5143991442769</v>
      </c>
      <c r="J111" s="1">
        <f>J92</f>
        <v>-2663.0418425621788</v>
      </c>
      <c r="K111" s="1">
        <f>K92</f>
        <v>-2725.8684380137747</v>
      </c>
      <c r="L111" s="1">
        <f>L92</f>
        <v>-2787.3508910629971</v>
      </c>
    </row>
    <row r="112" spans="1:12" s="149" customFormat="1" hidden="1">
      <c r="A112" s="149" t="s">
        <v>714</v>
      </c>
      <c r="G112" s="1"/>
      <c r="H112" s="1">
        <f>H93</f>
        <v>-18.222899999999868</v>
      </c>
      <c r="I112" s="1">
        <f t="shared" ref="I112:L112" si="42">I93</f>
        <v>0</v>
      </c>
      <c r="J112" s="1">
        <f t="shared" si="42"/>
        <v>0</v>
      </c>
      <c r="K112" s="1">
        <f t="shared" si="42"/>
        <v>0</v>
      </c>
      <c r="L112" s="1">
        <f t="shared" si="42"/>
        <v>0</v>
      </c>
    </row>
    <row r="113" spans="1:12" hidden="1">
      <c r="A113" t="s">
        <v>715</v>
      </c>
      <c r="G113" s="1">
        <f>IF(NOT(delay_HB365),0,-inflation_fy17*(F101+G89)*'Common Inputs'!B78)</f>
        <v>0</v>
      </c>
      <c r="H113" s="1"/>
      <c r="I113" s="1"/>
      <c r="J113" s="1"/>
      <c r="K113" s="1"/>
      <c r="L113" s="1"/>
    </row>
    <row r="114" spans="1:12" s="149" customFormat="1" hidden="1">
      <c r="A114" s="149" t="s">
        <v>722</v>
      </c>
      <c r="G114" s="1">
        <f>G94</f>
        <v>-1690</v>
      </c>
      <c r="H114" s="1"/>
      <c r="I114" s="1"/>
      <c r="J114" s="1"/>
      <c r="K114" s="1"/>
      <c r="L114" s="1"/>
    </row>
    <row r="115" spans="1:12" hidden="1">
      <c r="A115" s="31" t="s">
        <v>23</v>
      </c>
      <c r="B115" s="31"/>
      <c r="C115" s="31"/>
      <c r="D115" s="31"/>
      <c r="E115" s="31"/>
      <c r="F115" s="31"/>
      <c r="G115" s="2">
        <f>G95</f>
        <v>0</v>
      </c>
      <c r="H115" s="2">
        <f>H95</f>
        <v>0</v>
      </c>
      <c r="I115" s="2">
        <f>I95</f>
        <v>0</v>
      </c>
      <c r="J115" s="2">
        <f>J95</f>
        <v>0</v>
      </c>
      <c r="K115" s="2">
        <f>K95</f>
        <v>0</v>
      </c>
      <c r="L115" s="2">
        <f>L95</f>
        <v>0</v>
      </c>
    </row>
    <row r="116" spans="1:12" hidden="1">
      <c r="A116" s="104" t="s">
        <v>158</v>
      </c>
      <c r="B116" s="5"/>
      <c r="C116" s="5"/>
      <c r="D116" s="5"/>
      <c r="E116" s="5"/>
      <c r="F116" s="5"/>
      <c r="G116" s="7">
        <f t="shared" ref="G116:L116" si="43">SUM(G106:G115)</f>
        <v>538.93521988996054</v>
      </c>
      <c r="H116" s="7">
        <f t="shared" si="43"/>
        <v>364.02704202089751</v>
      </c>
      <c r="I116" s="7">
        <f t="shared" si="43"/>
        <v>666.35147008282775</v>
      </c>
      <c r="J116" s="7">
        <f t="shared" si="43"/>
        <v>-161.49409479209226</v>
      </c>
      <c r="K116" s="7">
        <f t="shared" si="43"/>
        <v>311.22540634402912</v>
      </c>
      <c r="L116" s="7">
        <f t="shared" si="43"/>
        <v>237.01103408053223</v>
      </c>
    </row>
    <row r="117" spans="1:12" hidden="1">
      <c r="A117" s="106" t="s">
        <v>16</v>
      </c>
      <c r="B117" s="107"/>
      <c r="C117" s="107"/>
      <c r="D117" s="107"/>
      <c r="E117" s="107"/>
      <c r="F117" s="108">
        <f>F$45</f>
        <v>9266</v>
      </c>
      <c r="G117" s="110">
        <f>MAX(0,F117+G116)</f>
        <v>9804.9352198899614</v>
      </c>
      <c r="H117" s="110">
        <f>MAX(0,G117+H116)</f>
        <v>10168.96226191086</v>
      </c>
      <c r="I117" s="110">
        <f t="shared" ref="I117" si="44">MAX(0,H117+I116)</f>
        <v>10835.313731993687</v>
      </c>
      <c r="J117" s="110">
        <f t="shared" ref="J117" si="45">MAX(0,I117+J116)</f>
        <v>10673.819637201595</v>
      </c>
      <c r="K117" s="110">
        <f t="shared" ref="K117" si="46">MAX(0,J117+K116)</f>
        <v>10985.045043545624</v>
      </c>
      <c r="L117" s="110">
        <f t="shared" ref="L117" si="47">MAX(0,K117+L116)</f>
        <v>11222.056077626155</v>
      </c>
    </row>
    <row r="118" spans="1:12" hidden="1">
      <c r="H118" s="360"/>
      <c r="I118" s="360"/>
      <c r="J118" s="360"/>
      <c r="K118" s="360"/>
      <c r="L118" s="360"/>
    </row>
    <row r="119" spans="1:12" s="149" customFormat="1" ht="18.75">
      <c r="A119" s="27" t="s">
        <v>723</v>
      </c>
      <c r="B119" s="27"/>
    </row>
    <row r="120" spans="1:12" s="149" customFormat="1" ht="9" customHeight="1"/>
    <row r="121" spans="1:12" s="149" customFormat="1">
      <c r="A121" s="26" t="s">
        <v>244</v>
      </c>
      <c r="B121" s="124" t="s">
        <v>7</v>
      </c>
      <c r="C121" s="124" t="s">
        <v>8</v>
      </c>
      <c r="D121" s="124" t="s">
        <v>9</v>
      </c>
      <c r="E121" s="124" t="s">
        <v>10</v>
      </c>
      <c r="F121" s="124" t="s">
        <v>11</v>
      </c>
      <c r="G121" s="124" t="s">
        <v>0</v>
      </c>
      <c r="H121" s="124" t="s">
        <v>12</v>
      </c>
      <c r="I121" s="124" t="s">
        <v>13</v>
      </c>
      <c r="J121" s="124" t="s">
        <v>14</v>
      </c>
      <c r="K121" s="124" t="s">
        <v>15</v>
      </c>
      <c r="L121" s="124" t="s">
        <v>301</v>
      </c>
    </row>
    <row r="122" spans="1:12" s="149" customFormat="1">
      <c r="A122" s="149" t="s">
        <v>35</v>
      </c>
      <c r="G122" s="13">
        <f>return_total_fy17*(F130+G123/2)-G$17</f>
        <v>3474.2021675152187</v>
      </c>
      <c r="H122" s="13">
        <f>return_total*(G130+H123/2)-H$17</f>
        <v>3814.3266416318625</v>
      </c>
      <c r="I122" s="13">
        <f>return_total*(H130+I123/2)-I$17</f>
        <v>3915.3258251225379</v>
      </c>
      <c r="J122" s="13">
        <f>return_total*(I130+J123/2)-J$17</f>
        <v>4012.6982758583963</v>
      </c>
      <c r="K122" s="13">
        <f>return_total*(J130+K123/2)-K$17</f>
        <v>4108.3087055166243</v>
      </c>
      <c r="L122" s="13">
        <f>return_total*(K130+L123/2)-L$17</f>
        <v>4213.4018196666839</v>
      </c>
    </row>
    <row r="123" spans="1:12" s="149" customFormat="1">
      <c r="A123" s="149" t="s">
        <v>358</v>
      </c>
      <c r="G123" s="13">
        <f>G$24</f>
        <v>264.16917955877489</v>
      </c>
      <c r="H123" s="13">
        <f>0.25*'HB61'!C$23</f>
        <v>234.4628204379884</v>
      </c>
      <c r="I123" s="13">
        <f>0.25*'HB61'!D$23</f>
        <v>255.91982408751161</v>
      </c>
      <c r="J123" s="13">
        <f>0.25*'HB61'!E$23</f>
        <v>262.39914369288925</v>
      </c>
      <c r="K123" s="13">
        <f>0.25*'HB61'!F$23</f>
        <v>270.17478133066641</v>
      </c>
      <c r="L123" s="13">
        <f>0.25*'HB61'!G$23</f>
        <v>275.81399194636708</v>
      </c>
    </row>
    <row r="124" spans="1:12" s="149" customFormat="1">
      <c r="A124" s="149" t="s">
        <v>26</v>
      </c>
      <c r="G124" s="1">
        <f>-G$18</f>
        <v>-23</v>
      </c>
      <c r="H124" s="1">
        <f t="shared" ref="H124:L124" si="48">-H$18</f>
        <v>-26</v>
      </c>
      <c r="I124" s="1">
        <f t="shared" si="48"/>
        <v>-26</v>
      </c>
      <c r="J124" s="1">
        <f t="shared" si="48"/>
        <v>-26</v>
      </c>
      <c r="K124" s="1">
        <f t="shared" si="48"/>
        <v>-26</v>
      </c>
      <c r="L124" s="1">
        <f t="shared" si="48"/>
        <v>-26</v>
      </c>
    </row>
    <row r="125" spans="1:12" s="149" customFormat="1">
      <c r="A125" s="149" t="s">
        <v>479</v>
      </c>
      <c r="G125" s="1">
        <f>G$26</f>
        <v>-696</v>
      </c>
      <c r="H125" s="1"/>
      <c r="I125" s="1"/>
      <c r="J125" s="1"/>
      <c r="K125" s="1"/>
      <c r="L125" s="1"/>
    </row>
    <row r="126" spans="1:12" s="149" customFormat="1">
      <c r="A126" s="149" t="s">
        <v>648</v>
      </c>
      <c r="G126" s="1"/>
      <c r="H126" s="1">
        <f>-('SB 26'!C43+'SB 26'!C44)</f>
        <v>-2525.67</v>
      </c>
      <c r="I126" s="1">
        <f>-('SB 26'!D43+'SB 26'!D44)</f>
        <v>-2695.2593991442768</v>
      </c>
      <c r="J126" s="1">
        <f>-('SB 26'!E43+'SB 26'!E44)</f>
        <v>-2833.1085526402876</v>
      </c>
      <c r="K126" s="1">
        <f>-('SB 26'!F43+'SB 26'!F44)</f>
        <v>-2780.3733921542748</v>
      </c>
      <c r="L126" s="1">
        <f>-('SB 26'!G43+'SB 26'!G44)</f>
        <v>-2860.8480514154812</v>
      </c>
    </row>
    <row r="127" spans="1:12" s="149" customFormat="1">
      <c r="A127" s="149" t="s">
        <v>745</v>
      </c>
      <c r="G127" s="1"/>
      <c r="H127" s="1">
        <f>-'SB 26'!C89</f>
        <v>0</v>
      </c>
      <c r="I127" s="1">
        <f>-'SB 26'!D89</f>
        <v>0</v>
      </c>
      <c r="J127" s="1">
        <f>-'SB 26'!E89</f>
        <v>0</v>
      </c>
      <c r="K127" s="1"/>
      <c r="L127" s="1"/>
    </row>
    <row r="128" spans="1:12" s="149" customFormat="1">
      <c r="A128" s="149" t="s">
        <v>722</v>
      </c>
      <c r="G128" s="1">
        <f>-'SB 26'!B30</f>
        <v>0</v>
      </c>
      <c r="H128" s="1"/>
      <c r="I128" s="1"/>
      <c r="J128" s="1"/>
      <c r="K128" s="1"/>
      <c r="L128" s="1"/>
    </row>
    <row r="129" spans="1:12" s="149" customFormat="1">
      <c r="A129" s="31" t="s">
        <v>23</v>
      </c>
      <c r="B129" s="31"/>
      <c r="C129" s="31"/>
      <c r="D129" s="31"/>
      <c r="E129" s="31"/>
      <c r="F129" s="31"/>
      <c r="G129" s="2">
        <f>-'SB 26'!B65</f>
        <v>0</v>
      </c>
      <c r="H129" s="2">
        <f>-'SB 26'!C65</f>
        <v>0</v>
      </c>
      <c r="I129" s="2">
        <f>-'SB 26'!D65</f>
        <v>0</v>
      </c>
      <c r="J129" s="2">
        <f>-'SB 26'!E65</f>
        <v>0</v>
      </c>
      <c r="K129" s="2">
        <f>-'SB 26'!F65</f>
        <v>0</v>
      </c>
      <c r="L129" s="2">
        <f>-'SB 26'!G65</f>
        <v>0</v>
      </c>
    </row>
    <row r="130" spans="1:12" s="149" customFormat="1">
      <c r="A130" s="149" t="s">
        <v>16</v>
      </c>
      <c r="B130" s="50">
        <f t="shared" ref="B130:E130" si="49">B$28</f>
        <v>40333</v>
      </c>
      <c r="C130" s="50">
        <f t="shared" si="49"/>
        <v>44853</v>
      </c>
      <c r="D130" s="50">
        <f t="shared" si="49"/>
        <v>51214</v>
      </c>
      <c r="E130" s="50">
        <f t="shared" si="49"/>
        <v>52800</v>
      </c>
      <c r="F130" s="50">
        <f>F$28</f>
        <v>53465</v>
      </c>
      <c r="G130" s="13">
        <f t="shared" ref="G130:L130" si="50">F130+SUM(G122:G129)</f>
        <v>56484.371347073997</v>
      </c>
      <c r="H130" s="13">
        <f t="shared" si="50"/>
        <v>57981.490809143848</v>
      </c>
      <c r="I130" s="13">
        <f t="shared" si="50"/>
        <v>59431.477059209617</v>
      </c>
      <c r="J130" s="13">
        <f t="shared" si="50"/>
        <v>60847.465926120618</v>
      </c>
      <c r="K130" s="13">
        <f t="shared" si="50"/>
        <v>62419.576020813634</v>
      </c>
      <c r="L130" s="13">
        <f t="shared" si="50"/>
        <v>64021.943781011207</v>
      </c>
    </row>
    <row r="131" spans="1:12" s="149" customFormat="1">
      <c r="H131" s="20"/>
      <c r="I131" s="20"/>
      <c r="J131" s="20"/>
      <c r="K131" s="20"/>
      <c r="L131" s="20"/>
    </row>
    <row r="132" spans="1:12" s="149" customFormat="1">
      <c r="A132" s="26" t="s">
        <v>564</v>
      </c>
      <c r="F132" s="36"/>
      <c r="G132" s="13"/>
      <c r="H132" s="20"/>
      <c r="I132" s="20"/>
      <c r="J132" s="20"/>
      <c r="K132" s="20"/>
      <c r="L132" s="20"/>
    </row>
    <row r="133" spans="1:12" s="149" customFormat="1">
      <c r="A133" s="149" t="s">
        <v>565</v>
      </c>
      <c r="F133" s="13"/>
      <c r="G133" s="13">
        <f t="shared" ref="G133:L133" si="51">G122-G140-G$18</f>
        <v>680.68297429019822</v>
      </c>
      <c r="H133" s="13">
        <f t="shared" si="51"/>
        <v>401.87137957678078</v>
      </c>
      <c r="I133" s="13">
        <f t="shared" si="51"/>
        <v>412.57710012043253</v>
      </c>
      <c r="J133" s="13">
        <f t="shared" si="51"/>
        <v>422.89500408049844</v>
      </c>
      <c r="K133" s="13">
        <f t="shared" si="51"/>
        <v>432.97612854918134</v>
      </c>
      <c r="L133" s="13">
        <f t="shared" si="51"/>
        <v>444.15812941918739</v>
      </c>
    </row>
    <row r="134" spans="1:12" s="149" customFormat="1">
      <c r="A134" s="149" t="s">
        <v>566</v>
      </c>
      <c r="F134" s="13">
        <f>F$33</f>
        <v>5671</v>
      </c>
      <c r="G134" s="13">
        <f>F134+G133</f>
        <v>6351.6829742901982</v>
      </c>
      <c r="H134" s="13">
        <f t="shared" ref="H134" si="52">G134+H133</f>
        <v>6753.554353866979</v>
      </c>
      <c r="I134" s="13">
        <f t="shared" ref="I134" si="53">H134+I133</f>
        <v>7166.1314539874111</v>
      </c>
      <c r="J134" s="13">
        <f t="shared" ref="J134" si="54">I134+J133</f>
        <v>7589.0264580679095</v>
      </c>
      <c r="K134" s="13">
        <f t="shared" ref="K134" si="55">J134+K133</f>
        <v>8022.0025866170909</v>
      </c>
      <c r="L134" s="13">
        <f t="shared" ref="L134" si="56">K134+L133</f>
        <v>8466.1607160362782</v>
      </c>
    </row>
    <row r="135" spans="1:12" s="149" customFormat="1">
      <c r="A135" s="149" t="s">
        <v>567</v>
      </c>
      <c r="F135" s="13">
        <f>F$34</f>
        <v>39449</v>
      </c>
      <c r="G135" s="13">
        <f t="shared" ref="G135:L135" si="57">F135+G123-G147-G142</f>
        <v>39713.169179558776</v>
      </c>
      <c r="H135" s="13">
        <f t="shared" si="57"/>
        <v>42376.206313555158</v>
      </c>
      <c r="I135" s="13">
        <f t="shared" si="57"/>
        <v>42632.12613764267</v>
      </c>
      <c r="J135" s="13">
        <f t="shared" si="57"/>
        <v>43177.645006410741</v>
      </c>
      <c r="K135" s="13">
        <f t="shared" si="57"/>
        <v>44643.359584840691</v>
      </c>
      <c r="L135" s="13">
        <f t="shared" si="57"/>
        <v>45481.66693209493</v>
      </c>
    </row>
    <row r="136" spans="1:12" s="149" customFormat="1">
      <c r="A136" s="149" t="s">
        <v>568</v>
      </c>
      <c r="F136" s="13">
        <f>F$35</f>
        <v>8345</v>
      </c>
      <c r="G136" s="13">
        <f>G130-G134-G135</f>
        <v>10419.519193225024</v>
      </c>
      <c r="H136" s="13">
        <f t="shared" ref="H136:L136" si="58">H130-H134-H135</f>
        <v>8851.7301417217095</v>
      </c>
      <c r="I136" s="13">
        <f t="shared" si="58"/>
        <v>9633.2194675795326</v>
      </c>
      <c r="J136" s="13">
        <f t="shared" si="58"/>
        <v>10080.79446164197</v>
      </c>
      <c r="K136" s="13">
        <f t="shared" si="58"/>
        <v>9754.2138493558523</v>
      </c>
      <c r="L136" s="13">
        <f t="shared" si="58"/>
        <v>10074.116132880001</v>
      </c>
    </row>
    <row r="137" spans="1:12" s="149" customFormat="1">
      <c r="A137" s="149" t="s">
        <v>569</v>
      </c>
      <c r="F137" s="13">
        <f>F136/(F136+F135)*F134</f>
        <v>990.17648658827466</v>
      </c>
      <c r="G137" s="13">
        <f t="shared" ref="G137:L137" si="59">G136/(G136+G135)*G134</f>
        <v>1320.1263448665591</v>
      </c>
      <c r="H137" s="13">
        <f t="shared" si="59"/>
        <v>1166.9539078559228</v>
      </c>
      <c r="I137" s="13">
        <f t="shared" si="59"/>
        <v>1320.8162355074521</v>
      </c>
      <c r="J137" s="13">
        <f t="shared" si="59"/>
        <v>1436.4562058495208</v>
      </c>
      <c r="K137" s="13">
        <f t="shared" si="59"/>
        <v>1438.4525593702087</v>
      </c>
      <c r="L137" s="13">
        <f t="shared" si="59"/>
        <v>1535.1972656604739</v>
      </c>
    </row>
    <row r="138" spans="1:12" s="149" customFormat="1">
      <c r="H138" s="20"/>
      <c r="I138" s="20"/>
      <c r="J138" s="20"/>
      <c r="K138" s="20"/>
      <c r="L138" s="20"/>
    </row>
    <row r="139" spans="1:12" s="149" customFormat="1">
      <c r="A139" s="26" t="s">
        <v>32</v>
      </c>
    </row>
    <row r="140" spans="1:12" s="149" customFormat="1">
      <c r="A140" s="149" t="s">
        <v>507</v>
      </c>
      <c r="B140" s="50">
        <f t="shared" ref="B140:E140" si="60">B$39</f>
        <v>1568</v>
      </c>
      <c r="C140" s="50">
        <f t="shared" si="60"/>
        <v>2928</v>
      </c>
      <c r="D140" s="50">
        <f t="shared" si="60"/>
        <v>3531</v>
      </c>
      <c r="E140" s="50">
        <f t="shared" si="60"/>
        <v>2907</v>
      </c>
      <c r="F140" s="50">
        <f>F$39</f>
        <v>2198</v>
      </c>
      <c r="G140" s="15">
        <f>return_stat_fy17*(F130+G123/2)-SUM(G$17:G$18)</f>
        <v>2770.5191932250204</v>
      </c>
      <c r="H140" s="15">
        <f>return_stat*(G130+H123/2)-SUM(H$17:H$18)</f>
        <v>3386.4552620550817</v>
      </c>
      <c r="I140" s="15">
        <f>return_stat*(H130+I123/2)-SUM(I$17:I$18)</f>
        <v>3476.7487250021054</v>
      </c>
      <c r="J140" s="15">
        <f>return_stat*(I130+J123/2)-SUM(J$17:J$18)</f>
        <v>3563.8032717778979</v>
      </c>
      <c r="K140" s="15">
        <f>return_stat*(J130+K123/2)-SUM(K$17:K$18)</f>
        <v>3649.3325769674429</v>
      </c>
      <c r="L140" s="15">
        <f>return_stat*(K130+L123/2)-SUM(L$17:L$18)</f>
        <v>3743.2436902474965</v>
      </c>
    </row>
    <row r="141" spans="1:12" s="149" customFormat="1">
      <c r="A141" s="149" t="s">
        <v>584</v>
      </c>
      <c r="B141" s="50"/>
      <c r="C141" s="50"/>
      <c r="D141" s="50"/>
      <c r="E141" s="50"/>
      <c r="F141" s="50"/>
      <c r="G141" s="1">
        <f>G137-F137</f>
        <v>329.94985827828441</v>
      </c>
      <c r="H141" s="1">
        <f t="shared" ref="H141" si="61">H137-G137</f>
        <v>-153.17243701063626</v>
      </c>
      <c r="I141" s="1">
        <f t="shared" ref="I141" si="62">I137-H137</f>
        <v>153.86232765152931</v>
      </c>
      <c r="J141" s="1">
        <f t="shared" ref="J141" si="63">J137-I137</f>
        <v>115.63997034206864</v>
      </c>
      <c r="K141" s="1">
        <f t="shared" ref="K141" si="64">K137-J137</f>
        <v>1.9963535206879897</v>
      </c>
      <c r="L141" s="1">
        <f t="shared" ref="L141" si="65">L137-K137</f>
        <v>96.744706290265185</v>
      </c>
    </row>
    <row r="142" spans="1:12" s="149" customFormat="1">
      <c r="A142" s="149" t="s">
        <v>235</v>
      </c>
      <c r="B142" s="50"/>
      <c r="C142" s="50"/>
      <c r="D142" s="50"/>
      <c r="E142" s="50"/>
      <c r="F142" s="50"/>
      <c r="G142" s="15"/>
      <c r="H142" s="1">
        <f>-MAX(0,G151+H140+('SB 26'!$B$28+1)*(H144+H145))</f>
        <v>-2428.5743135583871</v>
      </c>
      <c r="I142" s="1">
        <f>-MAX(0,H151+I140+('SB 26'!$B$28+1)*(I144+I145))</f>
        <v>0</v>
      </c>
      <c r="J142" s="1">
        <f>-MAX(0,I151+J140+('SB 26'!$B$28+1)*(J144+J145))</f>
        <v>-283.11972507518112</v>
      </c>
      <c r="K142" s="1">
        <f>-MAX(0,J151+K140+('SB 26'!$B$28+1)*(K144+K145))</f>
        <v>-1195.5397970992872</v>
      </c>
      <c r="L142" s="1">
        <f>-MAX(0,K151+L140+('SB 26'!$B$28+1)*(L144+L145))</f>
        <v>-562.49335530787721</v>
      </c>
    </row>
    <row r="143" spans="1:12" s="149" customFormat="1">
      <c r="A143" s="149" t="s">
        <v>710</v>
      </c>
      <c r="B143" s="50"/>
      <c r="C143" s="50"/>
      <c r="D143" s="50"/>
      <c r="E143" s="50"/>
      <c r="F143" s="50"/>
      <c r="G143" s="15"/>
      <c r="H143" s="1">
        <f>-(AVERAGE(B130:F130)-425)*'SB 26'!$B$27</f>
        <v>0</v>
      </c>
      <c r="I143" s="1">
        <f>-(AVERAGE(C130:G130)-425)*'SB 26'!$B$27</f>
        <v>0</v>
      </c>
      <c r="J143" s="1">
        <f>-(AVERAGE(D130:H130)-425)*'SB 26'!$B$27</f>
        <v>0</v>
      </c>
      <c r="K143" s="1">
        <f>-(AVERAGE(E130:I130)-425)*'SB 26'!$B$27</f>
        <v>0</v>
      </c>
      <c r="L143" s="1">
        <f>-(AVERAGE(F130:J130)-425)*'SB 26'!$B$27</f>
        <v>0</v>
      </c>
    </row>
    <row r="144" spans="1:12" s="149" customFormat="1">
      <c r="A144" s="149" t="s">
        <v>479</v>
      </c>
      <c r="G144" s="1">
        <f t="shared" ref="G144:L144" si="66">G125</f>
        <v>-696</v>
      </c>
      <c r="H144" s="1">
        <f t="shared" si="66"/>
        <v>0</v>
      </c>
      <c r="I144" s="1">
        <f t="shared" si="66"/>
        <v>0</v>
      </c>
      <c r="J144" s="1">
        <f t="shared" si="66"/>
        <v>0</v>
      </c>
      <c r="K144" s="1">
        <f t="shared" si="66"/>
        <v>0</v>
      </c>
      <c r="L144" s="1">
        <f t="shared" si="66"/>
        <v>0</v>
      </c>
    </row>
    <row r="145" spans="1:12" s="149" customFormat="1">
      <c r="A145" s="149" t="s">
        <v>648</v>
      </c>
      <c r="G145" s="1"/>
      <c r="H145" s="1">
        <f>H126</f>
        <v>-2525.67</v>
      </c>
      <c r="I145" s="1">
        <f>I126</f>
        <v>-2695.2593991442768</v>
      </c>
      <c r="J145" s="1">
        <f>J126</f>
        <v>-2833.1085526402876</v>
      </c>
      <c r="K145" s="1">
        <f>K126</f>
        <v>-2780.3733921542748</v>
      </c>
      <c r="L145" s="1">
        <f>L126</f>
        <v>-2860.8480514154812</v>
      </c>
    </row>
    <row r="146" spans="1:12" s="149" customFormat="1">
      <c r="A146" s="149" t="s">
        <v>745</v>
      </c>
      <c r="G146" s="1"/>
      <c r="H146" s="1">
        <f>H127</f>
        <v>0</v>
      </c>
      <c r="I146" s="1">
        <f t="shared" ref="I146:J146" si="67">I127</f>
        <v>0</v>
      </c>
      <c r="J146" s="1">
        <f t="shared" si="67"/>
        <v>0</v>
      </c>
      <c r="K146" s="1"/>
      <c r="L146" s="1"/>
    </row>
    <row r="147" spans="1:12" s="149" customFormat="1">
      <c r="A147" s="149" t="s">
        <v>33</v>
      </c>
      <c r="G147" s="1">
        <f>IF(NOT(delay_SB70),0,-inflation_fy17*(F135+G123)*'Common Inputs'!B109)</f>
        <v>0</v>
      </c>
      <c r="H147" s="1"/>
      <c r="I147" s="1"/>
      <c r="J147" s="1"/>
      <c r="K147" s="1"/>
      <c r="L147" s="1"/>
    </row>
    <row r="148" spans="1:12" s="149" customFormat="1">
      <c r="A148" s="149" t="s">
        <v>722</v>
      </c>
      <c r="G148" s="1">
        <f>G128</f>
        <v>0</v>
      </c>
      <c r="H148" s="1"/>
      <c r="I148" s="1"/>
      <c r="J148" s="1"/>
      <c r="K148" s="1"/>
      <c r="L148" s="1"/>
    </row>
    <row r="149" spans="1:12" s="149" customFormat="1">
      <c r="A149" s="31" t="s">
        <v>23</v>
      </c>
      <c r="B149" s="31"/>
      <c r="C149" s="31"/>
      <c r="D149" s="31"/>
      <c r="E149" s="31"/>
      <c r="F149" s="31"/>
      <c r="G149" s="2">
        <f>G129</f>
        <v>0</v>
      </c>
      <c r="H149" s="2">
        <f>H129</f>
        <v>0</v>
      </c>
      <c r="I149" s="2">
        <f>I129</f>
        <v>0</v>
      </c>
      <c r="J149" s="2">
        <f>J129</f>
        <v>0</v>
      </c>
      <c r="K149" s="2">
        <f>K129</f>
        <v>0</v>
      </c>
      <c r="L149" s="2">
        <f>L129</f>
        <v>0</v>
      </c>
    </row>
    <row r="150" spans="1:12" s="149" customFormat="1">
      <c r="A150" s="104" t="s">
        <v>158</v>
      </c>
      <c r="B150" s="5"/>
      <c r="C150" s="5"/>
      <c r="D150" s="5"/>
      <c r="E150" s="5"/>
      <c r="F150" s="5"/>
      <c r="G150" s="7">
        <f t="shared" ref="G150:L150" si="68">SUM(G140:G149)</f>
        <v>2404.4690515033049</v>
      </c>
      <c r="H150" s="7">
        <f t="shared" si="68"/>
        <v>-1720.9614885139417</v>
      </c>
      <c r="I150" s="7">
        <f t="shared" si="68"/>
        <v>935.35165350935813</v>
      </c>
      <c r="J150" s="7">
        <f t="shared" si="68"/>
        <v>563.21496440449755</v>
      </c>
      <c r="K150" s="7">
        <f t="shared" si="68"/>
        <v>-324.58425876543106</v>
      </c>
      <c r="L150" s="7">
        <f t="shared" si="68"/>
        <v>416.64698981440324</v>
      </c>
    </row>
    <row r="151" spans="1:12" s="149" customFormat="1">
      <c r="A151" s="106" t="s">
        <v>16</v>
      </c>
      <c r="B151" s="107"/>
      <c r="C151" s="107"/>
      <c r="D151" s="107"/>
      <c r="E151" s="107"/>
      <c r="F151" s="108">
        <f>F$45</f>
        <v>9266</v>
      </c>
      <c r="G151" s="110">
        <f>MAX(0,F151+G150)</f>
        <v>11670.469051503305</v>
      </c>
      <c r="H151" s="110">
        <f>MAX(0,G151+H150)</f>
        <v>9949.5075629893636</v>
      </c>
      <c r="I151" s="110">
        <f t="shared" ref="I151" si="69">MAX(0,H151+I150)</f>
        <v>10884.859216498722</v>
      </c>
      <c r="J151" s="110">
        <f t="shared" ref="J151" si="70">MAX(0,I151+J150)</f>
        <v>11448.074180903219</v>
      </c>
      <c r="K151" s="110">
        <f t="shared" ref="K151" si="71">MAX(0,J151+K150)</f>
        <v>11123.489922137787</v>
      </c>
      <c r="L151" s="110">
        <f t="shared" ref="L151" si="72">MAX(0,K151+L150)</f>
        <v>11540.136911952191</v>
      </c>
    </row>
    <row r="153" spans="1:12" s="149" customFormat="1" ht="18.75" hidden="1">
      <c r="A153" s="27" t="s">
        <v>598</v>
      </c>
      <c r="B153" s="27"/>
    </row>
    <row r="154" spans="1:12" s="149" customFormat="1" hidden="1"/>
    <row r="155" spans="1:12" s="149" customFormat="1" hidden="1">
      <c r="A155" s="26" t="s">
        <v>244</v>
      </c>
      <c r="B155" s="124" t="s">
        <v>7</v>
      </c>
      <c r="C155" s="124" t="s">
        <v>8</v>
      </c>
      <c r="D155" s="124" t="s">
        <v>9</v>
      </c>
      <c r="E155" s="124" t="s">
        <v>10</v>
      </c>
      <c r="F155" s="124" t="s">
        <v>11</v>
      </c>
      <c r="G155" s="124" t="s">
        <v>0</v>
      </c>
      <c r="H155" s="124" t="s">
        <v>12</v>
      </c>
      <c r="I155" s="124" t="s">
        <v>13</v>
      </c>
      <c r="J155" s="124" t="s">
        <v>14</v>
      </c>
      <c r="K155" s="124" t="s">
        <v>15</v>
      </c>
      <c r="L155" s="124" t="s">
        <v>301</v>
      </c>
    </row>
    <row r="156" spans="1:12" s="149" customFormat="1" hidden="1">
      <c r="A156" s="149" t="s">
        <v>35</v>
      </c>
      <c r="G156" s="13">
        <f>return_total_fy17*(F164+G157/2)-G$17</f>
        <v>3474.2021675152187</v>
      </c>
      <c r="H156" s="13">
        <f>return_total*(G164+H157/2)-H$17</f>
        <v>3816.1787890023188</v>
      </c>
      <c r="I156" s="13">
        <f>return_total*(H164+I157/2)-I$17</f>
        <v>3934.9035962114835</v>
      </c>
      <c r="J156" s="13">
        <f>return_total*(I164+J157/2)-J$17</f>
        <v>4055.1912677149867</v>
      </c>
      <c r="K156" s="13">
        <f>return_total*(J164+K157/2)-K$17</f>
        <v>4179.9305030871774</v>
      </c>
      <c r="L156" s="13">
        <f>return_total*(K164+L157/2)-L$17</f>
        <v>4307.0684203108358</v>
      </c>
    </row>
    <row r="157" spans="1:12" s="149" customFormat="1" hidden="1">
      <c r="A157" s="149" t="s">
        <v>358</v>
      </c>
      <c r="G157" s="13">
        <f>G$24</f>
        <v>264.16917955877489</v>
      </c>
      <c r="H157" s="13">
        <f>IF(reduce_royalty_SB21, 0.25*'HB61'!C$23,H$24)</f>
        <v>287.76202534319395</v>
      </c>
      <c r="I157" s="13">
        <f>IF(reduce_royalty_SB21, 0.25*'HB61'!D$23,I$24)</f>
        <v>316.36089986829631</v>
      </c>
      <c r="J157" s="13">
        <f>IF(reduce_royalty_SB21, 0.25*'HB61'!E$23,J$24)</f>
        <v>331.24859189769927</v>
      </c>
      <c r="K157" s="13">
        <f>IF(reduce_royalty_SB21, 0.25*'HB61'!F$23,K$24)</f>
        <v>346.19562969605238</v>
      </c>
      <c r="L157" s="13">
        <f>IF(reduce_royalty_SB21, 0.25*'HB61'!G$23,L$24)</f>
        <v>350.73968794654081</v>
      </c>
    </row>
    <row r="158" spans="1:12" s="149" customFormat="1" hidden="1">
      <c r="A158" s="149" t="s">
        <v>26</v>
      </c>
      <c r="G158" s="1">
        <f>-G$18</f>
        <v>-23</v>
      </c>
      <c r="H158" s="1">
        <f t="shared" ref="H158:L158" si="73">-H$18</f>
        <v>-26</v>
      </c>
      <c r="I158" s="1">
        <f t="shared" si="73"/>
        <v>-26</v>
      </c>
      <c r="J158" s="1">
        <f t="shared" si="73"/>
        <v>-26</v>
      </c>
      <c r="K158" s="1">
        <f t="shared" si="73"/>
        <v>-26</v>
      </c>
      <c r="L158" s="1">
        <f t="shared" si="73"/>
        <v>-26</v>
      </c>
    </row>
    <row r="159" spans="1:12" s="149" customFormat="1" hidden="1">
      <c r="A159" s="149" t="s">
        <v>599</v>
      </c>
      <c r="G159" s="1">
        <f>G$26</f>
        <v>-696</v>
      </c>
      <c r="H159" s="1"/>
      <c r="I159" s="1"/>
      <c r="J159" s="1"/>
      <c r="K159" s="1"/>
      <c r="L159" s="1"/>
    </row>
    <row r="160" spans="1:12" s="149" customFormat="1" hidden="1">
      <c r="A160" s="149" t="s">
        <v>600</v>
      </c>
      <c r="G160" s="1"/>
      <c r="H160" s="1">
        <f>-AVERAGE(C164:G164)*'SB 21'!$B$21</f>
        <v>-1164.6736710618329</v>
      </c>
      <c r="I160" s="1">
        <f>-AVERAGE(D164:H164)*'SB 21'!$B$21</f>
        <v>-1224.8835127486643</v>
      </c>
      <c r="J160" s="1">
        <f>-AVERAGE(E164:I164)*'SB 21'!$B$21</f>
        <v>-1264.4585930531166</v>
      </c>
      <c r="K160" s="1">
        <f>-AVERAGE(F164:J164)*'SB 21'!$B$21</f>
        <v>-1305.1385253883479</v>
      </c>
      <c r="L160" s="1">
        <f>-AVERAGE(G164:K164)*'SB 21'!$B$21</f>
        <v>-1351.3302785926087</v>
      </c>
    </row>
    <row r="161" spans="1:12" s="149" customFormat="1" hidden="1">
      <c r="A161" s="149" t="s">
        <v>248</v>
      </c>
      <c r="G161" s="1"/>
      <c r="H161" s="1">
        <f>-AVERAGE(C164:G164)*'SB 21'!$B$22</f>
        <v>-1164.6736710618329</v>
      </c>
      <c r="I161" s="1">
        <f>-AVERAGE(D164:H164)*'SB 21'!$B$22</f>
        <v>-1224.8835127486643</v>
      </c>
      <c r="J161" s="1">
        <f>-AVERAGE(E164:I164)*'SB 21'!$B$22</f>
        <v>-1264.4585930531166</v>
      </c>
      <c r="K161" s="1">
        <f>-AVERAGE(F164:J164)*'SB 21'!$B$22</f>
        <v>-1305.1385253883479</v>
      </c>
      <c r="L161" s="1">
        <f>-AVERAGE(G164:K164)*'SB 21'!$B$22</f>
        <v>-1351.3302785926087</v>
      </c>
    </row>
    <row r="162" spans="1:12" s="149" customFormat="1" hidden="1">
      <c r="A162" s="149" t="s">
        <v>722</v>
      </c>
      <c r="G162" s="1">
        <f>-'SB 21'!$B$27</f>
        <v>0</v>
      </c>
      <c r="H162" s="1"/>
      <c r="I162" s="1"/>
      <c r="J162" s="1"/>
      <c r="K162" s="1"/>
      <c r="L162" s="1"/>
    </row>
    <row r="163" spans="1:12" s="149" customFormat="1" hidden="1">
      <c r="A163" s="31" t="s">
        <v>23</v>
      </c>
      <c r="B163" s="31"/>
      <c r="C163" s="31"/>
      <c r="D163" s="31"/>
      <c r="E163" s="31"/>
      <c r="F163" s="31"/>
      <c r="G163" s="2">
        <f>-'SB 21'!B55</f>
        <v>0</v>
      </c>
      <c r="H163" s="2">
        <f>-'SB 21'!C55</f>
        <v>0</v>
      </c>
      <c r="I163" s="2">
        <f>-'SB 21'!D55</f>
        <v>0</v>
      </c>
      <c r="J163" s="2">
        <f>-'SB 21'!E55</f>
        <v>0</v>
      </c>
      <c r="K163" s="2">
        <f>-'SB 21'!F55</f>
        <v>0</v>
      </c>
      <c r="L163" s="2">
        <f>-'SB 21'!G55</f>
        <v>-799.42861525378953</v>
      </c>
    </row>
    <row r="164" spans="1:12" s="149" customFormat="1" hidden="1">
      <c r="A164" s="149" t="s">
        <v>16</v>
      </c>
      <c r="B164" s="50">
        <f t="shared" ref="B164:E164" si="74">B$28</f>
        <v>40333</v>
      </c>
      <c r="C164" s="50">
        <f t="shared" si="74"/>
        <v>44853</v>
      </c>
      <c r="D164" s="50">
        <f t="shared" si="74"/>
        <v>51214</v>
      </c>
      <c r="E164" s="50">
        <f t="shared" si="74"/>
        <v>52800</v>
      </c>
      <c r="F164" s="50">
        <f>F$28</f>
        <v>53465</v>
      </c>
      <c r="G164" s="13">
        <f t="shared" ref="G164:L164" si="75">F164+SUM(G156:G163)</f>
        <v>56484.371347073997</v>
      </c>
      <c r="H164" s="13">
        <f t="shared" si="75"/>
        <v>58232.964819295841</v>
      </c>
      <c r="I164" s="13">
        <f t="shared" si="75"/>
        <v>60008.462289878291</v>
      </c>
      <c r="J164" s="13">
        <f t="shared" si="75"/>
        <v>61839.984963384741</v>
      </c>
      <c r="K164" s="13">
        <f t="shared" si="75"/>
        <v>63729.834045391275</v>
      </c>
      <c r="L164" s="13">
        <f t="shared" si="75"/>
        <v>64859.552981209643</v>
      </c>
    </row>
    <row r="165" spans="1:12" s="149" customFormat="1" hidden="1">
      <c r="H165" s="113"/>
      <c r="I165" s="20"/>
      <c r="J165" s="20"/>
      <c r="K165" s="20"/>
      <c r="L165" s="20"/>
    </row>
    <row r="166" spans="1:12" s="149" customFormat="1" hidden="1">
      <c r="A166" s="26" t="s">
        <v>564</v>
      </c>
      <c r="F166" s="36"/>
      <c r="G166" s="13"/>
      <c r="H166" s="20"/>
      <c r="I166" s="20"/>
      <c r="J166" s="20"/>
      <c r="K166" s="20"/>
      <c r="L166" s="20"/>
    </row>
    <row r="167" spans="1:12" s="149" customFormat="1" hidden="1">
      <c r="A167" s="149" t="s">
        <v>565</v>
      </c>
      <c r="F167" s="13"/>
      <c r="G167" s="13">
        <f t="shared" ref="G167:L167" si="76">G156-G174-G$18</f>
        <v>680.68297429019822</v>
      </c>
      <c r="H167" s="13">
        <f t="shared" si="76"/>
        <v>402.06059175419432</v>
      </c>
      <c r="I167" s="13">
        <f t="shared" si="76"/>
        <v>414.57713141153363</v>
      </c>
      <c r="J167" s="13">
        <f t="shared" si="76"/>
        <v>427.23601475937357</v>
      </c>
      <c r="K167" s="13">
        <f t="shared" si="76"/>
        <v>440.29288772545306</v>
      </c>
      <c r="L167" s="13">
        <f t="shared" si="76"/>
        <v>453.72694761448929</v>
      </c>
    </row>
    <row r="168" spans="1:12" s="149" customFormat="1" hidden="1">
      <c r="A168" s="149" t="s">
        <v>566</v>
      </c>
      <c r="F168" s="13">
        <f>F$33</f>
        <v>5671</v>
      </c>
      <c r="G168" s="13">
        <f>F168+G167</f>
        <v>6351.6829742901982</v>
      </c>
      <c r="H168" s="13">
        <f t="shared" ref="H168" si="77">G168+H167</f>
        <v>6753.7435660443925</v>
      </c>
      <c r="I168" s="13">
        <f t="shared" ref="I168" si="78">H168+I167</f>
        <v>7168.3206974559262</v>
      </c>
      <c r="J168" s="13">
        <f t="shared" ref="J168" si="79">I168+J167</f>
        <v>7595.5567122152997</v>
      </c>
      <c r="K168" s="13">
        <f t="shared" ref="K168" si="80">J168+K167</f>
        <v>8035.8495999407533</v>
      </c>
      <c r="L168" s="13">
        <f t="shared" ref="L168" si="81">K168+L167</f>
        <v>8489.5765475552435</v>
      </c>
    </row>
    <row r="169" spans="1:12" s="149" customFormat="1" hidden="1">
      <c r="A169" s="149" t="s">
        <v>567</v>
      </c>
      <c r="F169" s="13">
        <f>F$34</f>
        <v>39449</v>
      </c>
      <c r="G169" s="13">
        <f>F169+G157-G176</f>
        <v>39713.169179558776</v>
      </c>
      <c r="H169" s="13">
        <f t="shared" ref="H169:L169" si="82">G169+H157-H176</f>
        <v>40000.931204901972</v>
      </c>
      <c r="I169" s="13">
        <f t="shared" si="82"/>
        <v>40317.292104770269</v>
      </c>
      <c r="J169" s="13">
        <f t="shared" si="82"/>
        <v>40648.540696667966</v>
      </c>
      <c r="K169" s="13">
        <f t="shared" si="82"/>
        <v>40994.736326364015</v>
      </c>
      <c r="L169" s="13">
        <f t="shared" si="82"/>
        <v>41345.476014310552</v>
      </c>
    </row>
    <row r="170" spans="1:12" s="149" customFormat="1" hidden="1">
      <c r="A170" s="149" t="s">
        <v>568</v>
      </c>
      <c r="F170" s="13">
        <f>F$35</f>
        <v>8345</v>
      </c>
      <c r="G170" s="13">
        <f>G164-G168-G169</f>
        <v>10419.519193225024</v>
      </c>
      <c r="H170" s="13">
        <f t="shared" ref="H170:L170" si="83">H164-H168-H169</f>
        <v>11478.290048349474</v>
      </c>
      <c r="I170" s="13">
        <f t="shared" si="83"/>
        <v>12522.849487652093</v>
      </c>
      <c r="J170" s="13">
        <f t="shared" si="83"/>
        <v>13595.887554501474</v>
      </c>
      <c r="K170" s="13">
        <f t="shared" si="83"/>
        <v>14699.248119086507</v>
      </c>
      <c r="L170" s="13">
        <f t="shared" si="83"/>
        <v>15024.500419343851</v>
      </c>
    </row>
    <row r="171" spans="1:12" s="149" customFormat="1" hidden="1">
      <c r="A171" s="149" t="s">
        <v>569</v>
      </c>
      <c r="F171" s="13">
        <f>F170/(F170+F169)*F168</f>
        <v>990.17648658827466</v>
      </c>
      <c r="G171" s="13">
        <f t="shared" ref="G171" si="84">G170/(G170+G169)*G168</f>
        <v>1320.1263448665591</v>
      </c>
      <c r="H171" s="13">
        <f t="shared" ref="H171" si="85">H170/(H170+H169)*H168</f>
        <v>1505.8780159448384</v>
      </c>
      <c r="I171" s="13">
        <f t="shared" ref="I171" si="86">I170/(I170+I169)*I168</f>
        <v>1698.8561814591192</v>
      </c>
      <c r="J171" s="13">
        <f t="shared" ref="J171" si="87">J170/(J170+J169)*J168</f>
        <v>1903.7593039961998</v>
      </c>
      <c r="K171" s="13">
        <f t="shared" ref="K171" si="88">K170/(K170+K169)*K168</f>
        <v>2120.8923781146373</v>
      </c>
      <c r="L171" s="13">
        <f t="shared" ref="L171" si="89">L170/(L170+L169)*L168</f>
        <v>2262.7585546167393</v>
      </c>
    </row>
    <row r="172" spans="1:12" s="149" customFormat="1" hidden="1">
      <c r="H172" s="20"/>
      <c r="I172" s="20"/>
      <c r="J172" s="20"/>
      <c r="K172" s="20"/>
      <c r="L172" s="20"/>
    </row>
    <row r="173" spans="1:12" s="149" customFormat="1" hidden="1">
      <c r="A173" s="26" t="s">
        <v>32</v>
      </c>
    </row>
    <row r="174" spans="1:12" s="149" customFormat="1" hidden="1">
      <c r="A174" s="149" t="s">
        <v>27</v>
      </c>
      <c r="B174" s="50">
        <f t="shared" ref="B174:E174" si="90">B$39</f>
        <v>1568</v>
      </c>
      <c r="C174" s="50">
        <f t="shared" si="90"/>
        <v>2928</v>
      </c>
      <c r="D174" s="50">
        <f t="shared" si="90"/>
        <v>3531</v>
      </c>
      <c r="E174" s="50">
        <f t="shared" si="90"/>
        <v>2907</v>
      </c>
      <c r="F174" s="50">
        <f>F$39</f>
        <v>2198</v>
      </c>
      <c r="G174" s="15">
        <f>return_stat_fy17*(F164+G157/2)-SUM(G$17:G$18)</f>
        <v>2770.5191932250204</v>
      </c>
      <c r="H174" s="15">
        <f>return_stat*(G164+H157/2)-SUM(H$17:H$18)</f>
        <v>3388.1181972481245</v>
      </c>
      <c r="I174" s="15">
        <f>return_stat*(H164+I157/2)-SUM(I$17:I$18)</f>
        <v>3494.3264647999499</v>
      </c>
      <c r="J174" s="15">
        <f>return_stat*(I164+J157/2)-SUM(J$17:J$18)</f>
        <v>3601.9552529556131</v>
      </c>
      <c r="K174" s="15">
        <f>return_stat*(J164+K157/2)-SUM(K$17:K$18)</f>
        <v>3713.6376153617243</v>
      </c>
      <c r="L174" s="15">
        <f>return_stat*(K164+L157/2)-SUM(L$17:L$18)</f>
        <v>3827.3414726963465</v>
      </c>
    </row>
    <row r="175" spans="1:12" s="149" customFormat="1" hidden="1">
      <c r="A175" s="149" t="s">
        <v>584</v>
      </c>
      <c r="B175" s="50"/>
      <c r="C175" s="50"/>
      <c r="D175" s="50"/>
      <c r="E175" s="50"/>
      <c r="F175" s="50"/>
      <c r="G175" s="1">
        <f>G171-F171</f>
        <v>329.94985827828441</v>
      </c>
      <c r="H175" s="1">
        <f t="shared" ref="H175:L175" si="91">H171-G171</f>
        <v>185.75167107827929</v>
      </c>
      <c r="I175" s="1">
        <f t="shared" si="91"/>
        <v>192.97816551428082</v>
      </c>
      <c r="J175" s="1">
        <f t="shared" si="91"/>
        <v>204.90312253708066</v>
      </c>
      <c r="K175" s="1">
        <f t="shared" si="91"/>
        <v>217.13307411843743</v>
      </c>
      <c r="L175" s="1">
        <f t="shared" si="91"/>
        <v>141.86617650210201</v>
      </c>
    </row>
    <row r="176" spans="1:12" s="149" customFormat="1" hidden="1">
      <c r="A176" s="149" t="s">
        <v>235</v>
      </c>
      <c r="B176" s="50"/>
      <c r="C176" s="50"/>
      <c r="D176" s="50"/>
      <c r="E176" s="50"/>
      <c r="F176" s="50"/>
      <c r="G176" s="15"/>
      <c r="H176" s="1">
        <f>-MAX(0,G183+H174+('SB 21'!$B$25+1)*(H178+H179))</f>
        <v>0</v>
      </c>
      <c r="I176" s="1">
        <f>-MAX(0,H183+I174+('SB 21'!$B$25+1)*(I178+I179))</f>
        <v>0</v>
      </c>
      <c r="J176" s="1">
        <f>-MAX(0,I183+J174+('SB 21'!$B$25+1)*(J178+J179))</f>
        <v>0</v>
      </c>
      <c r="K176" s="1">
        <f>-MAX(0,J183+K174+('SB 21'!$B$25+1)*(K178+K179))</f>
        <v>0</v>
      </c>
      <c r="L176" s="1">
        <f>-MAX(0,K183+L174+('SB 21'!$B$25+1)*(L178+L179))</f>
        <v>0</v>
      </c>
    </row>
    <row r="177" spans="1:12" s="149" customFormat="1" hidden="1">
      <c r="A177" s="149" t="s">
        <v>599</v>
      </c>
      <c r="G177" s="1">
        <f>G159</f>
        <v>-696</v>
      </c>
      <c r="H177" s="1"/>
      <c r="I177" s="1"/>
      <c r="J177" s="1"/>
      <c r="K177" s="1"/>
      <c r="L177" s="1"/>
    </row>
    <row r="178" spans="1:12" s="149" customFormat="1" hidden="1">
      <c r="A178" s="149" t="s">
        <v>600</v>
      </c>
      <c r="G178" s="1"/>
      <c r="H178" s="1">
        <f>H160</f>
        <v>-1164.6736710618329</v>
      </c>
      <c r="I178" s="1">
        <f t="shared" ref="I178:L179" si="92">I160</f>
        <v>-1224.8835127486643</v>
      </c>
      <c r="J178" s="1">
        <f t="shared" si="92"/>
        <v>-1264.4585930531166</v>
      </c>
      <c r="K178" s="1">
        <f t="shared" si="92"/>
        <v>-1305.1385253883479</v>
      </c>
      <c r="L178" s="1">
        <f t="shared" si="92"/>
        <v>-1351.3302785926087</v>
      </c>
    </row>
    <row r="179" spans="1:12" s="149" customFormat="1" hidden="1">
      <c r="A179" s="149" t="s">
        <v>248</v>
      </c>
      <c r="G179" s="1"/>
      <c r="H179" s="1">
        <f>H161</f>
        <v>-1164.6736710618329</v>
      </c>
      <c r="I179" s="1">
        <f t="shared" si="92"/>
        <v>-1224.8835127486643</v>
      </c>
      <c r="J179" s="1">
        <f t="shared" si="92"/>
        <v>-1264.4585930531166</v>
      </c>
      <c r="K179" s="1">
        <f t="shared" si="92"/>
        <v>-1305.1385253883479</v>
      </c>
      <c r="L179" s="1">
        <f t="shared" si="92"/>
        <v>-1351.3302785926087</v>
      </c>
    </row>
    <row r="180" spans="1:12" s="149" customFormat="1" hidden="1">
      <c r="A180" s="149" t="s">
        <v>722</v>
      </c>
      <c r="G180" s="1">
        <f>G162</f>
        <v>0</v>
      </c>
      <c r="H180" s="1"/>
      <c r="I180" s="1"/>
      <c r="J180" s="1"/>
      <c r="K180" s="1"/>
      <c r="L180" s="1"/>
    </row>
    <row r="181" spans="1:12" s="149" customFormat="1" hidden="1">
      <c r="A181" s="31" t="s">
        <v>23</v>
      </c>
      <c r="B181" s="31"/>
      <c r="C181" s="31"/>
      <c r="D181" s="31"/>
      <c r="E181" s="31"/>
      <c r="F181" s="31"/>
      <c r="G181" s="2">
        <f>G163</f>
        <v>0</v>
      </c>
      <c r="H181" s="2">
        <f>H163</f>
        <v>0</v>
      </c>
      <c r="I181" s="2">
        <f>I163</f>
        <v>0</v>
      </c>
      <c r="J181" s="2">
        <f>J163</f>
        <v>0</v>
      </c>
      <c r="K181" s="2">
        <f>K163</f>
        <v>0</v>
      </c>
      <c r="L181" s="2">
        <f>L163</f>
        <v>-799.42861525378953</v>
      </c>
    </row>
    <row r="182" spans="1:12" s="149" customFormat="1" hidden="1">
      <c r="A182" s="104" t="s">
        <v>158</v>
      </c>
      <c r="B182" s="5"/>
      <c r="C182" s="5"/>
      <c r="D182" s="5"/>
      <c r="E182" s="5"/>
      <c r="F182" s="5"/>
      <c r="G182" s="7">
        <f t="shared" ref="G182:L182" si="93">SUM(G174:G181)</f>
        <v>2404.4690515033049</v>
      </c>
      <c r="H182" s="7">
        <f t="shared" si="93"/>
        <v>1244.5225262027379</v>
      </c>
      <c r="I182" s="7">
        <f t="shared" si="93"/>
        <v>1237.5376048169021</v>
      </c>
      <c r="J182" s="7">
        <f t="shared" si="93"/>
        <v>1277.9411893864608</v>
      </c>
      <c r="K182" s="7">
        <f t="shared" si="93"/>
        <v>1320.4936387034661</v>
      </c>
      <c r="L182" s="7">
        <f t="shared" si="93"/>
        <v>467.11847675944182</v>
      </c>
    </row>
    <row r="183" spans="1:12" s="149" customFormat="1" hidden="1">
      <c r="A183" s="106" t="s">
        <v>16</v>
      </c>
      <c r="B183" s="107"/>
      <c r="C183" s="107"/>
      <c r="D183" s="107"/>
      <c r="E183" s="107"/>
      <c r="F183" s="108">
        <f>F$45</f>
        <v>9266</v>
      </c>
      <c r="G183" s="110">
        <f>MAX(0,F183+G182)</f>
        <v>11670.469051503305</v>
      </c>
      <c r="H183" s="110">
        <f>MAX(0,G183+H182)</f>
        <v>12914.991577706043</v>
      </c>
      <c r="I183" s="110">
        <f t="shared" ref="I183" si="94">MAX(0,H183+I182)</f>
        <v>14152.529182522945</v>
      </c>
      <c r="J183" s="110">
        <f t="shared" ref="J183" si="95">MAX(0,I183+J182)</f>
        <v>15430.470371909407</v>
      </c>
      <c r="K183" s="110">
        <f t="shared" ref="K183" si="96">MAX(0,J183+K182)</f>
        <v>16750.964010612872</v>
      </c>
      <c r="L183" s="110">
        <f t="shared" ref="L183" si="97">MAX(0,K183+L182)</f>
        <v>17218.082487372314</v>
      </c>
    </row>
    <row r="184" spans="1:12" s="149" customFormat="1" hidden="1"/>
    <row r="185" spans="1:12" s="149" customFormat="1" ht="18.75" hidden="1">
      <c r="A185" s="27" t="s">
        <v>680</v>
      </c>
      <c r="B185" s="27"/>
    </row>
    <row r="186" spans="1:12" s="149" customFormat="1" hidden="1"/>
    <row r="187" spans="1:12" s="149" customFormat="1" hidden="1">
      <c r="A187" s="26" t="s">
        <v>244</v>
      </c>
      <c r="B187" s="124" t="s">
        <v>7</v>
      </c>
      <c r="C187" s="124" t="s">
        <v>8</v>
      </c>
      <c r="D187" s="124" t="s">
        <v>9</v>
      </c>
      <c r="E187" s="124" t="s">
        <v>10</v>
      </c>
      <c r="F187" s="124" t="s">
        <v>11</v>
      </c>
      <c r="G187" s="124" t="s">
        <v>0</v>
      </c>
      <c r="H187" s="124" t="s">
        <v>12</v>
      </c>
      <c r="I187" s="124" t="s">
        <v>13</v>
      </c>
      <c r="J187" s="124" t="s">
        <v>14</v>
      </c>
      <c r="K187" s="124" t="s">
        <v>15</v>
      </c>
      <c r="L187" s="124" t="s">
        <v>301</v>
      </c>
    </row>
    <row r="188" spans="1:12" s="149" customFormat="1" hidden="1">
      <c r="A188" s="149" t="s">
        <v>35</v>
      </c>
      <c r="G188" s="13">
        <f>return_total_fy17*(F196+G189/2)-G$17</f>
        <v>3474.2021675152187</v>
      </c>
      <c r="H188" s="13">
        <f>return_total*(G196+H189/2)-H$17</f>
        <v>3814.3266416318625</v>
      </c>
      <c r="I188" s="13">
        <f>return_total*(H196+I189/2)-I$17</f>
        <v>3881.6475824974191</v>
      </c>
      <c r="J188" s="13">
        <f>return_total*(I196+J189/2)-J$17</f>
        <v>3949.3364162033104</v>
      </c>
      <c r="K188" s="13">
        <f>return_total*(J196+K189/2)-K$17</f>
        <v>4026.558132549384</v>
      </c>
      <c r="L188" s="13">
        <f>return_total*(K196+L189/2)-L$17</f>
        <v>4101.9316365267996</v>
      </c>
    </row>
    <row r="189" spans="1:12" s="149" customFormat="1" hidden="1">
      <c r="A189" s="149" t="s">
        <v>358</v>
      </c>
      <c r="G189" s="13">
        <f>G$24</f>
        <v>264.16917955877489</v>
      </c>
      <c r="H189" s="13">
        <f>IF(reduce_royalty_50_50, 0.25*'HB61'!C$23,H$24)</f>
        <v>234.4628204379884</v>
      </c>
      <c r="I189" s="13">
        <f>IF(reduce_royalty_50_50, 0.25*'HB61'!D$23,I$24)</f>
        <v>255.91982408751161</v>
      </c>
      <c r="J189" s="13">
        <f>IF(reduce_royalty_50_50, 0.25*'HB61'!E$23,J$24)</f>
        <v>262.39914369288925</v>
      </c>
      <c r="K189" s="13">
        <f>IF(reduce_royalty_50_50, 0.25*'HB61'!F$23,K$24)</f>
        <v>270.17478133066641</v>
      </c>
      <c r="L189" s="13">
        <f>IF(reduce_royalty_50_50, 0.25*'HB61'!G$23,L$24)</f>
        <v>275.81399194636708</v>
      </c>
    </row>
    <row r="190" spans="1:12" s="149" customFormat="1" hidden="1">
      <c r="A190" s="149" t="s">
        <v>26</v>
      </c>
      <c r="G190" s="1">
        <f>-G$18</f>
        <v>-23</v>
      </c>
      <c r="H190" s="1">
        <f t="shared" ref="H190:L190" si="98">-H$18</f>
        <v>-26</v>
      </c>
      <c r="I190" s="1">
        <f t="shared" si="98"/>
        <v>-26</v>
      </c>
      <c r="J190" s="1">
        <f t="shared" si="98"/>
        <v>-26</v>
      </c>
      <c r="K190" s="1">
        <f t="shared" si="98"/>
        <v>-26</v>
      </c>
      <c r="L190" s="1">
        <f t="shared" si="98"/>
        <v>-26</v>
      </c>
    </row>
    <row r="191" spans="1:12" s="149" customFormat="1" hidden="1">
      <c r="A191" s="149" t="s">
        <v>696</v>
      </c>
      <c r="G191" s="1">
        <f>G26</f>
        <v>-696</v>
      </c>
      <c r="H191" s="1">
        <f>-G205*('SB 84'!$B$19+'SB 84'!$B$20)-'SB 84'!C39</f>
        <v>-3010.249030577254</v>
      </c>
      <c r="I191" s="1">
        <f>-H205*('SB 84'!$B$19+'SB 84'!$B$20)-'SB 84'!D39</f>
        <v>-3088.6835598280368</v>
      </c>
      <c r="J191" s="1">
        <f>-I205*('SB 84'!$B$19+'SB 84'!$B$20)-'SB 84'!E39</f>
        <v>-3034.332496037769</v>
      </c>
      <c r="K191" s="1">
        <f>-J205*('SB 84'!$B$19+'SB 84'!$B$20)-'SB 84'!F39</f>
        <v>-3126.2431094409076</v>
      </c>
      <c r="L191" s="1">
        <f>-K205*('SB 84'!$B$19+'SB 84'!$B$20)-'SB 84'!G39</f>
        <v>-3369.0042970964378</v>
      </c>
    </row>
    <row r="192" spans="1:12" s="149" customFormat="1" hidden="1">
      <c r="A192" s="149" t="s">
        <v>504</v>
      </c>
      <c r="G192" s="1"/>
      <c r="H192" s="1">
        <f>-'SB 84'!B22</f>
        <v>0</v>
      </c>
      <c r="I192" s="1"/>
      <c r="J192" s="1"/>
      <c r="K192" s="1"/>
      <c r="L192" s="1"/>
    </row>
    <row r="193" spans="1:12" s="149" customFormat="1" hidden="1">
      <c r="A193" s="149" t="s">
        <v>248</v>
      </c>
      <c r="G193" s="1"/>
      <c r="H193" s="1">
        <f>-(AVERAGE(B196:F196)-425)*'SB 84'!$B$23</f>
        <v>0</v>
      </c>
      <c r="I193" s="1">
        <f>-(AVERAGE(C196:G196)-425)*'SB 84'!$B$23</f>
        <v>0</v>
      </c>
      <c r="J193" s="1">
        <f>-(AVERAGE(D196:H196)-425)*'SB 84'!$B$23</f>
        <v>0</v>
      </c>
      <c r="K193" s="1">
        <f>-(AVERAGE(E196:I196)-425)*'SB 84'!$B$23</f>
        <v>0</v>
      </c>
      <c r="L193" s="1">
        <f>-(AVERAGE(F196:J196)-425)*'SB 84'!$B$23</f>
        <v>0</v>
      </c>
    </row>
    <row r="194" spans="1:12" s="149" customFormat="1" hidden="1">
      <c r="A194" s="149" t="s">
        <v>722</v>
      </c>
      <c r="G194" s="1">
        <f>-'SB 84'!$B$24</f>
        <v>0</v>
      </c>
      <c r="H194" s="1"/>
      <c r="I194" s="1"/>
      <c r="J194" s="1"/>
      <c r="K194" s="1"/>
      <c r="L194" s="1"/>
    </row>
    <row r="195" spans="1:12" s="149" customFormat="1" hidden="1">
      <c r="A195" s="31" t="s">
        <v>23</v>
      </c>
      <c r="B195" s="31"/>
      <c r="C195" s="31"/>
      <c r="D195" s="31"/>
      <c r="E195" s="31"/>
      <c r="F195" s="31"/>
      <c r="G195" s="2">
        <f>-'SB 84'!B60</f>
        <v>0</v>
      </c>
      <c r="H195" s="2">
        <f>-'SB 84'!C60</f>
        <v>0</v>
      </c>
      <c r="I195" s="2">
        <f>-'SB 84'!D60</f>
        <v>0</v>
      </c>
      <c r="J195" s="2">
        <f>-'SB 84'!E60</f>
        <v>0</v>
      </c>
      <c r="K195" s="2">
        <f>-'SB 84'!F60</f>
        <v>0</v>
      </c>
      <c r="L195" s="2">
        <f>-'SB 84'!G60</f>
        <v>0</v>
      </c>
    </row>
    <row r="196" spans="1:12" s="149" customFormat="1" hidden="1">
      <c r="A196" s="149" t="s">
        <v>16</v>
      </c>
      <c r="B196" s="50">
        <f t="shared" ref="B196:E196" si="99">B$28</f>
        <v>40333</v>
      </c>
      <c r="C196" s="50">
        <f t="shared" si="99"/>
        <v>44853</v>
      </c>
      <c r="D196" s="50">
        <f t="shared" si="99"/>
        <v>51214</v>
      </c>
      <c r="E196" s="50">
        <f t="shared" si="99"/>
        <v>52800</v>
      </c>
      <c r="F196" s="50">
        <f>F$28</f>
        <v>53465</v>
      </c>
      <c r="G196" s="13">
        <f t="shared" ref="G196:L196" si="100">F196+SUM(G188:G195)</f>
        <v>56484.371347073997</v>
      </c>
      <c r="H196" s="13">
        <f t="shared" si="100"/>
        <v>57496.911778566595</v>
      </c>
      <c r="I196" s="13">
        <f t="shared" si="100"/>
        <v>58519.795625323488</v>
      </c>
      <c r="J196" s="13">
        <f t="shared" si="100"/>
        <v>59671.198689181918</v>
      </c>
      <c r="K196" s="13">
        <f t="shared" si="100"/>
        <v>60815.688493621063</v>
      </c>
      <c r="L196" s="13">
        <f t="shared" si="100"/>
        <v>61798.429824997795</v>
      </c>
    </row>
    <row r="197" spans="1:12" s="149" customFormat="1" hidden="1">
      <c r="H197" s="20"/>
      <c r="I197" s="20"/>
      <c r="J197" s="20"/>
      <c r="K197" s="20"/>
      <c r="L197" s="20"/>
    </row>
    <row r="198" spans="1:12" s="149" customFormat="1" hidden="1">
      <c r="A198" s="26" t="s">
        <v>564</v>
      </c>
      <c r="F198" s="36"/>
      <c r="G198" s="13"/>
      <c r="H198" s="20"/>
      <c r="I198" s="20"/>
      <c r="J198" s="20"/>
      <c r="K198" s="20"/>
      <c r="L198" s="20"/>
    </row>
    <row r="199" spans="1:12" s="149" customFormat="1" hidden="1">
      <c r="A199" s="149" t="s">
        <v>565</v>
      </c>
      <c r="F199" s="13"/>
      <c r="G199" s="13">
        <f>G188-G208-G$18</f>
        <v>680.68297429019822</v>
      </c>
      <c r="H199" s="13">
        <f t="shared" ref="H199:L199" si="101">H188-H208-H$18</f>
        <v>401.87137957678078</v>
      </c>
      <c r="I199" s="13">
        <f t="shared" si="101"/>
        <v>409.13658900333439</v>
      </c>
      <c r="J199" s="13">
        <f t="shared" si="101"/>
        <v>416.42206589990701</v>
      </c>
      <c r="K199" s="13">
        <f t="shared" si="101"/>
        <v>424.62463116691561</v>
      </c>
      <c r="L199" s="13">
        <f t="shared" si="101"/>
        <v>432.77052797611941</v>
      </c>
    </row>
    <row r="200" spans="1:12" s="149" customFormat="1" hidden="1">
      <c r="A200" s="149" t="s">
        <v>566</v>
      </c>
      <c r="F200" s="13">
        <f>F$33</f>
        <v>5671</v>
      </c>
      <c r="G200" s="13">
        <f>F200+G199</f>
        <v>6351.6829742901982</v>
      </c>
      <c r="H200" s="13">
        <f t="shared" ref="H200:L200" si="102">G200+H199</f>
        <v>6753.554353866979</v>
      </c>
      <c r="I200" s="13">
        <f t="shared" si="102"/>
        <v>7162.6909428703129</v>
      </c>
      <c r="J200" s="13">
        <f t="shared" si="102"/>
        <v>7579.1130087702204</v>
      </c>
      <c r="K200" s="13">
        <f t="shared" si="102"/>
        <v>8003.737639937136</v>
      </c>
      <c r="L200" s="13">
        <f t="shared" si="102"/>
        <v>8436.5081679132563</v>
      </c>
    </row>
    <row r="201" spans="1:12" s="149" customFormat="1" hidden="1">
      <c r="A201" s="149" t="s">
        <v>567</v>
      </c>
      <c r="F201" s="13">
        <f>F$34</f>
        <v>39449</v>
      </c>
      <c r="G201" s="13">
        <f>F201+G189</f>
        <v>39713.169179558776</v>
      </c>
      <c r="H201" s="13">
        <f t="shared" ref="H201:L201" si="103">G201+H189</f>
        <v>39947.631999996767</v>
      </c>
      <c r="I201" s="13">
        <f t="shared" si="103"/>
        <v>40203.551824084279</v>
      </c>
      <c r="J201" s="13">
        <f t="shared" si="103"/>
        <v>40465.950967777171</v>
      </c>
      <c r="K201" s="13">
        <f t="shared" si="103"/>
        <v>40736.125749107836</v>
      </c>
      <c r="L201" s="13">
        <f t="shared" si="103"/>
        <v>41011.939741054201</v>
      </c>
    </row>
    <row r="202" spans="1:12" s="149" customFormat="1" hidden="1">
      <c r="A202" s="149" t="s">
        <v>568</v>
      </c>
      <c r="F202" s="13">
        <f>F$35</f>
        <v>8345</v>
      </c>
      <c r="G202" s="13">
        <f>G196-G200-G201</f>
        <v>10419.519193225024</v>
      </c>
      <c r="H202" s="13">
        <f t="shared" ref="H202:L202" si="104">H196-H200-H201</f>
        <v>10795.725424702847</v>
      </c>
      <c r="I202" s="13">
        <f t="shared" si="104"/>
        <v>11153.552858368894</v>
      </c>
      <c r="J202" s="13">
        <f t="shared" si="104"/>
        <v>11626.134712634528</v>
      </c>
      <c r="K202" s="13">
        <f t="shared" si="104"/>
        <v>12075.825104576092</v>
      </c>
      <c r="L202" s="13">
        <f t="shared" si="104"/>
        <v>12349.981916030338</v>
      </c>
    </row>
    <row r="203" spans="1:12" s="149" customFormat="1" hidden="1">
      <c r="A203" s="149" t="s">
        <v>569</v>
      </c>
      <c r="F203" s="13">
        <f>F202/(F202+F201)*F200</f>
        <v>990.17648658827466</v>
      </c>
      <c r="G203" s="13">
        <f t="shared" ref="G203" si="105">G202/(G202+G201)*G200</f>
        <v>1320.1263448665591</v>
      </c>
      <c r="H203" s="13">
        <f t="shared" ref="H203" si="106">H202/(H202+H201)*H200</f>
        <v>1436.8288214540814</v>
      </c>
      <c r="I203" s="13">
        <f t="shared" ref="I203" si="107">I202/(I202+I201)*I200</f>
        <v>1555.5676772168085</v>
      </c>
      <c r="J203" s="13">
        <f t="shared" ref="J203" si="108">J202/(J202+J201)*J200</f>
        <v>1691.538891010036</v>
      </c>
      <c r="K203" s="13">
        <f t="shared" ref="K203" si="109">K202/(K202+K201)*K200</f>
        <v>1830.1110707038285</v>
      </c>
      <c r="L203" s="13">
        <f t="shared" ref="L203" si="110">L202/(L202+L201)*L200</f>
        <v>1952.5294455796306</v>
      </c>
    </row>
    <row r="204" spans="1:12" s="149" customFormat="1" hidden="1">
      <c r="H204" s="20"/>
      <c r="I204" s="20"/>
      <c r="J204" s="20"/>
      <c r="K204" s="20"/>
      <c r="L204" s="20"/>
    </row>
    <row r="205" spans="1:12" s="149" customFormat="1" hidden="1">
      <c r="A205" s="149" t="s">
        <v>377</v>
      </c>
      <c r="G205" s="15">
        <f>'SB 84'!$B$21*SUM(C208:G208)</f>
        <v>3010.249030577254</v>
      </c>
      <c r="H205" s="15">
        <f>'SB 84'!$B$21*SUM(D208:H208)</f>
        <v>3106.5246356088214</v>
      </c>
      <c r="I205" s="15">
        <f>'SB 84'!$B$21*SUM(E208:I208)</f>
        <v>3088.7819442425789</v>
      </c>
      <c r="J205" s="15">
        <f>'SB 84'!$B$21*SUM(F208:J208)</f>
        <v>3214.7639578062935</v>
      </c>
      <c r="K205" s="15">
        <f>'SB 84'!$B$21*SUM(G208:K208)</f>
        <v>3504.129993096612</v>
      </c>
      <c r="L205" s="15">
        <f>'SB 84'!$B$21*SUM(H208:L208)</f>
        <v>3687.3847953150007</v>
      </c>
    </row>
    <row r="206" spans="1:12" s="149" customFormat="1" ht="8.25" hidden="1" customHeight="1">
      <c r="H206" s="20"/>
      <c r="I206" s="20"/>
      <c r="J206" s="20"/>
      <c r="K206" s="20"/>
      <c r="L206" s="20"/>
    </row>
    <row r="207" spans="1:12" s="149" customFormat="1" hidden="1">
      <c r="A207" s="26" t="s">
        <v>32</v>
      </c>
    </row>
    <row r="208" spans="1:12" s="149" customFormat="1" hidden="1">
      <c r="A208" s="149" t="s">
        <v>27</v>
      </c>
      <c r="B208" s="50">
        <f t="shared" ref="B208:E208" si="111">B$39</f>
        <v>1568</v>
      </c>
      <c r="C208" s="50">
        <f t="shared" si="111"/>
        <v>2928</v>
      </c>
      <c r="D208" s="50">
        <f t="shared" si="111"/>
        <v>3531</v>
      </c>
      <c r="E208" s="50">
        <f t="shared" si="111"/>
        <v>2907</v>
      </c>
      <c r="F208" s="50">
        <f>F$39</f>
        <v>2198</v>
      </c>
      <c r="G208" s="15">
        <f>return_stat_fy17*(F196+G189/2)-SUM(G$17:G$18)</f>
        <v>2770.5191932250204</v>
      </c>
      <c r="H208" s="15">
        <f>return_stat*(G196+H189/2)-SUM(H$17:H$18)</f>
        <v>3386.4552620550817</v>
      </c>
      <c r="I208" s="15">
        <f>return_stat*(H196+I189/2)-SUM(I$17:I$18)</f>
        <v>3446.5109934940847</v>
      </c>
      <c r="J208" s="15">
        <f>return_stat*(I196+J189/2)-SUM(J$17:J$18)</f>
        <v>3506.9143503034034</v>
      </c>
      <c r="K208" s="15">
        <f>return_stat*(J196+K189/2)-SUM(K$17:K$18)</f>
        <v>3575.9335013824684</v>
      </c>
      <c r="L208" s="15">
        <f>return_stat*(K196+L189/2)-SUM(L$17:L$18)</f>
        <v>3643.1611085506802</v>
      </c>
    </row>
    <row r="209" spans="1:12" s="149" customFormat="1" hidden="1">
      <c r="A209" s="149" t="s">
        <v>584</v>
      </c>
      <c r="B209" s="50"/>
      <c r="C209" s="50"/>
      <c r="D209" s="50"/>
      <c r="E209" s="50"/>
      <c r="F209" s="50"/>
      <c r="G209" s="15">
        <f>G203-F203</f>
        <v>329.94985827828441</v>
      </c>
      <c r="H209" s="15">
        <f t="shared" ref="H209:L209" si="112">H203-G203</f>
        <v>116.70247658752237</v>
      </c>
      <c r="I209" s="15">
        <f t="shared" si="112"/>
        <v>118.7388557627271</v>
      </c>
      <c r="J209" s="15">
        <f t="shared" si="112"/>
        <v>135.97121379322743</v>
      </c>
      <c r="K209" s="15">
        <f t="shared" si="112"/>
        <v>138.57217969379258</v>
      </c>
      <c r="L209" s="15">
        <f t="shared" si="112"/>
        <v>122.4183748758021</v>
      </c>
    </row>
    <row r="210" spans="1:12" s="149" customFormat="1" hidden="1">
      <c r="A210" s="149" t="s">
        <v>696</v>
      </c>
      <c r="G210" s="1">
        <f t="shared" ref="G210:L210" si="113">G191</f>
        <v>-696</v>
      </c>
      <c r="H210" s="1">
        <f t="shared" si="113"/>
        <v>-3010.249030577254</v>
      </c>
      <c r="I210" s="1">
        <f t="shared" si="113"/>
        <v>-3088.6835598280368</v>
      </c>
      <c r="J210" s="1">
        <f t="shared" si="113"/>
        <v>-3034.332496037769</v>
      </c>
      <c r="K210" s="1">
        <f t="shared" si="113"/>
        <v>-3126.2431094409076</v>
      </c>
      <c r="L210" s="1">
        <f t="shared" si="113"/>
        <v>-3369.0042970964378</v>
      </c>
    </row>
    <row r="211" spans="1:12" s="149" customFormat="1" hidden="1">
      <c r="A211" s="149" t="s">
        <v>695</v>
      </c>
      <c r="G211" s="1">
        <f>G42</f>
        <v>0</v>
      </c>
      <c r="H211" s="1">
        <f>-inflation*(G201+H189)</f>
        <v>-898.82171999992727</v>
      </c>
      <c r="I211" s="1">
        <f>-inflation*(H201+I189)</f>
        <v>-904.57991604189624</v>
      </c>
      <c r="J211" s="1">
        <f>-inflation*(I201+J189)</f>
        <v>-910.48389677498631</v>
      </c>
      <c r="K211" s="1">
        <f>-inflation*(J201+K189)</f>
        <v>-916.56282935492629</v>
      </c>
      <c r="L211" s="1">
        <f>-inflation*(K201+L189)</f>
        <v>-922.76864417371951</v>
      </c>
    </row>
    <row r="212" spans="1:12" s="149" customFormat="1" hidden="1">
      <c r="A212" s="149" t="s">
        <v>504</v>
      </c>
      <c r="G212" s="1"/>
      <c r="H212" s="1">
        <f>H192</f>
        <v>0</v>
      </c>
      <c r="I212" s="1"/>
      <c r="J212" s="1"/>
      <c r="K212" s="1"/>
      <c r="L212" s="1"/>
    </row>
    <row r="213" spans="1:12" s="149" customFormat="1" hidden="1">
      <c r="A213" s="149" t="s">
        <v>248</v>
      </c>
      <c r="G213" s="1"/>
      <c r="H213" s="1">
        <f>H193</f>
        <v>0</v>
      </c>
      <c r="I213" s="1">
        <f t="shared" ref="I213:L213" si="114">I193</f>
        <v>0</v>
      </c>
      <c r="J213" s="1">
        <f t="shared" si="114"/>
        <v>0</v>
      </c>
      <c r="K213" s="1">
        <f t="shared" si="114"/>
        <v>0</v>
      </c>
      <c r="L213" s="1">
        <f t="shared" si="114"/>
        <v>0</v>
      </c>
    </row>
    <row r="214" spans="1:12" s="149" customFormat="1" hidden="1">
      <c r="A214" s="149" t="s">
        <v>722</v>
      </c>
      <c r="G214" s="1">
        <f>G194</f>
        <v>0</v>
      </c>
      <c r="H214" s="1"/>
      <c r="I214" s="1"/>
      <c r="J214" s="1"/>
      <c r="K214" s="1"/>
      <c r="L214" s="1"/>
    </row>
    <row r="215" spans="1:12" s="149" customFormat="1" hidden="1">
      <c r="A215" s="31" t="s">
        <v>23</v>
      </c>
      <c r="B215" s="31"/>
      <c r="C215" s="31"/>
      <c r="D215" s="31"/>
      <c r="E215" s="31"/>
      <c r="F215" s="31"/>
      <c r="G215" s="2">
        <f>G195</f>
        <v>0</v>
      </c>
      <c r="H215" s="2">
        <f>H195</f>
        <v>0</v>
      </c>
      <c r="I215" s="2">
        <f>I195</f>
        <v>0</v>
      </c>
      <c r="J215" s="2">
        <f>J195</f>
        <v>0</v>
      </c>
      <c r="K215" s="2">
        <f>K195</f>
        <v>0</v>
      </c>
      <c r="L215" s="2">
        <f>L195</f>
        <v>0</v>
      </c>
    </row>
    <row r="216" spans="1:12" s="149" customFormat="1" hidden="1">
      <c r="A216" s="104" t="s">
        <v>158</v>
      </c>
      <c r="B216" s="5"/>
      <c r="C216" s="5"/>
      <c r="D216" s="5"/>
      <c r="E216" s="5"/>
      <c r="F216" s="5"/>
      <c r="G216" s="7">
        <f t="shared" ref="G216:L216" si="115">SUM(G208:G215)</f>
        <v>2404.4690515033049</v>
      </c>
      <c r="H216" s="7">
        <f t="shared" si="115"/>
        <v>-405.91301193457696</v>
      </c>
      <c r="I216" s="7">
        <f t="shared" si="115"/>
        <v>-428.013626613121</v>
      </c>
      <c r="J216" s="7">
        <f t="shared" si="115"/>
        <v>-301.93082871612455</v>
      </c>
      <c r="K216" s="7">
        <f t="shared" si="115"/>
        <v>-328.3002577195731</v>
      </c>
      <c r="L216" s="7">
        <f t="shared" si="115"/>
        <v>-526.19345784367476</v>
      </c>
    </row>
    <row r="217" spans="1:12" s="149" customFormat="1" hidden="1">
      <c r="A217" s="106" t="s">
        <v>16</v>
      </c>
      <c r="B217" s="107"/>
      <c r="C217" s="107"/>
      <c r="D217" s="107"/>
      <c r="E217" s="107"/>
      <c r="F217" s="108">
        <f>F$45</f>
        <v>9266</v>
      </c>
      <c r="G217" s="110">
        <f>MAX(0,F217+G216)</f>
        <v>11670.469051503305</v>
      </c>
      <c r="H217" s="110">
        <f>MAX(0,G217+H216)</f>
        <v>11264.556039568728</v>
      </c>
      <c r="I217" s="110">
        <f t="shared" ref="I217" si="116">MAX(0,H217+I216)</f>
        <v>10836.542412955607</v>
      </c>
      <c r="J217" s="110">
        <f t="shared" ref="J217" si="117">MAX(0,I217+J216)</f>
        <v>10534.611584239483</v>
      </c>
      <c r="K217" s="110">
        <f t="shared" ref="K217" si="118">MAX(0,J217+K216)</f>
        <v>10206.31132651991</v>
      </c>
      <c r="L217" s="110">
        <f t="shared" ref="L217" si="119">MAX(0,K217+L216)</f>
        <v>9680.117868676236</v>
      </c>
    </row>
    <row r="218" spans="1:12" s="149" customFormat="1" hidden="1"/>
    <row r="219" spans="1:12" ht="18.75" hidden="1">
      <c r="A219" s="27" t="s">
        <v>102</v>
      </c>
      <c r="B219" s="27"/>
    </row>
    <row r="220" spans="1:12" hidden="1"/>
    <row r="221" spans="1:12" s="16" customFormat="1" hidden="1">
      <c r="A221" s="26" t="s">
        <v>244</v>
      </c>
      <c r="B221" s="124" t="s">
        <v>7</v>
      </c>
      <c r="C221" s="124" t="s">
        <v>8</v>
      </c>
      <c r="D221" s="124" t="s">
        <v>9</v>
      </c>
      <c r="E221" s="124" t="s">
        <v>10</v>
      </c>
      <c r="F221" s="124" t="s">
        <v>11</v>
      </c>
      <c r="G221" s="124" t="s">
        <v>0</v>
      </c>
      <c r="H221" s="124" t="s">
        <v>12</v>
      </c>
      <c r="I221" s="124" t="s">
        <v>13</v>
      </c>
      <c r="J221" s="124" t="s">
        <v>14</v>
      </c>
      <c r="K221" s="124" t="s">
        <v>15</v>
      </c>
      <c r="L221" s="124" t="s">
        <v>301</v>
      </c>
    </row>
    <row r="222" spans="1:12" hidden="1">
      <c r="A222" t="s">
        <v>35</v>
      </c>
      <c r="G222" s="13">
        <f>return_total_fy17*(F228+G223/2)-G$17</f>
        <v>3474.2021675152187</v>
      </c>
      <c r="H222" s="13">
        <f>return_total*(G228+H223/2)-H$17</f>
        <v>3816.1787890023188</v>
      </c>
      <c r="I222" s="13">
        <f>return_total*(H228+I223/2)-I$17</f>
        <v>3992.1870826765189</v>
      </c>
      <c r="J222" s="13">
        <f>return_total*(I228+J223/2)-J$17</f>
        <v>4178.7508984044289</v>
      </c>
      <c r="K222" s="13">
        <f>return_total*(J228+K223/2)-K$17</f>
        <v>4354.2849053256541</v>
      </c>
      <c r="L222" s="13">
        <f>return_total*(K228+L223/2)-L$17</f>
        <v>4454.306432855471</v>
      </c>
    </row>
    <row r="223" spans="1:12" hidden="1">
      <c r="A223" t="s">
        <v>359</v>
      </c>
      <c r="G223" s="13">
        <f>G$24</f>
        <v>264.16917955877489</v>
      </c>
      <c r="H223" s="13">
        <f t="shared" ref="H223:L223" si="120">H$24</f>
        <v>287.76202534319395</v>
      </c>
      <c r="I223" s="13">
        <f t="shared" si="120"/>
        <v>316.36089986829631</v>
      </c>
      <c r="J223" s="13">
        <f t="shared" si="120"/>
        <v>331.24859189769927</v>
      </c>
      <c r="K223" s="13">
        <f t="shared" si="120"/>
        <v>346.19562969605238</v>
      </c>
      <c r="L223" s="13">
        <f t="shared" si="120"/>
        <v>350.73968794654081</v>
      </c>
    </row>
    <row r="224" spans="1:12" hidden="1">
      <c r="A224" t="s">
        <v>26</v>
      </c>
      <c r="G224" s="1">
        <f>-G$18</f>
        <v>-23</v>
      </c>
      <c r="H224" s="1">
        <f t="shared" ref="H224:L224" si="121">-H$18</f>
        <v>-26</v>
      </c>
      <c r="I224" s="1">
        <f t="shared" si="121"/>
        <v>-26</v>
      </c>
      <c r="J224" s="1">
        <f t="shared" si="121"/>
        <v>-26</v>
      </c>
      <c r="K224" s="1">
        <f t="shared" si="121"/>
        <v>-26</v>
      </c>
      <c r="L224" s="1">
        <f t="shared" si="121"/>
        <v>-26</v>
      </c>
    </row>
    <row r="225" spans="1:12" hidden="1">
      <c r="A225" t="s">
        <v>25</v>
      </c>
      <c r="G225" s="1">
        <f>G26</f>
        <v>-696</v>
      </c>
      <c r="H225" s="1">
        <f>-0.21*SUM(C238:G238)/2+'Common Inputs'!C68</f>
        <v>-1505.124515288627</v>
      </c>
      <c r="I225" s="1">
        <f>-0.21*SUM(D238:H238)/2+'Common Inputs'!D68</f>
        <v>-1553.4369259996802</v>
      </c>
      <c r="J225" s="1">
        <f>-0.21*SUM(E238:I238)/2+'Common Inputs'!E68</f>
        <v>-1554.986512765098</v>
      </c>
      <c r="K225" s="1">
        <f>-0.21*SUM(F238:J238)/2+'Common Inputs'!F68</f>
        <v>-1639.6051985020883</v>
      </c>
      <c r="L225" s="1">
        <f>-0.21*SUM(G238:K238)/2+'Common Inputs'!G68</f>
        <v>-1815.1841271577528</v>
      </c>
    </row>
    <row r="226" spans="1:12" s="149" customFormat="1" hidden="1">
      <c r="A226" s="149" t="s">
        <v>722</v>
      </c>
      <c r="G226" s="1">
        <f>-Generic!B19</f>
        <v>0</v>
      </c>
      <c r="H226" s="1"/>
      <c r="I226" s="1"/>
      <c r="J226" s="1"/>
      <c r="K226" s="1"/>
      <c r="L226" s="1"/>
    </row>
    <row r="227" spans="1:12" hidden="1">
      <c r="A227" s="31" t="s">
        <v>23</v>
      </c>
      <c r="B227" s="31"/>
      <c r="C227" s="31"/>
      <c r="D227" s="31"/>
      <c r="E227" s="31"/>
      <c r="F227" s="31"/>
      <c r="G227" s="2">
        <f>-Generic!B45</f>
        <v>0</v>
      </c>
      <c r="H227" s="2">
        <f>-Generic!C45</f>
        <v>0</v>
      </c>
      <c r="I227" s="2">
        <f>-Generic!D45</f>
        <v>0</v>
      </c>
      <c r="J227" s="2">
        <f>-Generic!E45</f>
        <v>-366.63028174232022</v>
      </c>
      <c r="K227" s="2">
        <f>-Generic!F45</f>
        <v>-1535.1901349999994</v>
      </c>
      <c r="L227" s="2">
        <f>-Generic!G45</f>
        <v>-1382.0406282499998</v>
      </c>
    </row>
    <row r="228" spans="1:12" hidden="1">
      <c r="A228" t="s">
        <v>16</v>
      </c>
      <c r="B228" s="50">
        <f t="shared" ref="B228:E228" si="122">B$28</f>
        <v>40333</v>
      </c>
      <c r="C228" s="50">
        <f t="shared" si="122"/>
        <v>44853</v>
      </c>
      <c r="D228" s="50">
        <f t="shared" si="122"/>
        <v>51214</v>
      </c>
      <c r="E228" s="50">
        <f t="shared" si="122"/>
        <v>52800</v>
      </c>
      <c r="F228" s="50">
        <f>F$28</f>
        <v>53465</v>
      </c>
      <c r="G228" s="13">
        <f t="shared" ref="G228" si="123">F228+SUM(G222:G227)</f>
        <v>56484.371347073997</v>
      </c>
      <c r="H228" s="13">
        <f t="shared" ref="H228" si="124">G228+SUM(H222:H227)</f>
        <v>59057.187646130886</v>
      </c>
      <c r="I228" s="13">
        <f t="shared" ref="I228" si="125">H228+SUM(I222:I227)</f>
        <v>61786.298702676024</v>
      </c>
      <c r="J228" s="13">
        <f t="shared" ref="J228" si="126">I228+SUM(J222:J227)</f>
        <v>64348.681398470733</v>
      </c>
      <c r="K228" s="13">
        <f t="shared" ref="K228" si="127">J228+SUM(K222:K227)</f>
        <v>65848.366599990346</v>
      </c>
      <c r="L228" s="13">
        <f t="shared" ref="L228" si="128">K228+SUM(L222:L227)</f>
        <v>67430.187965384612</v>
      </c>
    </row>
    <row r="229" spans="1:12" hidden="1"/>
    <row r="230" spans="1:12" s="149" customFormat="1" hidden="1">
      <c r="A230" s="26" t="s">
        <v>564</v>
      </c>
      <c r="F230" s="36"/>
      <c r="G230" s="13"/>
    </row>
    <row r="231" spans="1:12" s="149" customFormat="1" hidden="1">
      <c r="A231" s="149" t="s">
        <v>565</v>
      </c>
      <c r="F231" s="13"/>
      <c r="G231" s="13">
        <f>G222-G238-G$18</f>
        <v>680.68297429019822</v>
      </c>
      <c r="H231" s="13">
        <f t="shared" ref="H231:L231" si="129">H222-H238-H$18</f>
        <v>402.06059175419432</v>
      </c>
      <c r="I231" s="13">
        <f t="shared" si="129"/>
        <v>420.42911348206189</v>
      </c>
      <c r="J231" s="13">
        <f t="shared" si="129"/>
        <v>439.85865329023727</v>
      </c>
      <c r="K231" s="13">
        <f t="shared" si="129"/>
        <v>458.10463241456364</v>
      </c>
      <c r="L231" s="13">
        <f t="shared" si="129"/>
        <v>468.76852875214263</v>
      </c>
    </row>
    <row r="232" spans="1:12" s="149" customFormat="1" hidden="1">
      <c r="A232" s="149" t="s">
        <v>566</v>
      </c>
      <c r="F232" s="13">
        <f>F$33</f>
        <v>5671</v>
      </c>
      <c r="G232" s="13">
        <f>F232+G231</f>
        <v>6351.6829742901982</v>
      </c>
      <c r="H232" s="13">
        <f t="shared" ref="H232:L232" si="130">G232+H231</f>
        <v>6753.7435660443925</v>
      </c>
      <c r="I232" s="13">
        <f t="shared" si="130"/>
        <v>7174.1726795264549</v>
      </c>
      <c r="J232" s="13">
        <f t="shared" si="130"/>
        <v>7614.0313328166922</v>
      </c>
      <c r="K232" s="13">
        <f t="shared" si="130"/>
        <v>8072.1359652312558</v>
      </c>
      <c r="L232" s="13">
        <f t="shared" si="130"/>
        <v>8540.9044939833984</v>
      </c>
    </row>
    <row r="233" spans="1:12" s="149" customFormat="1" hidden="1">
      <c r="A233" s="149" t="s">
        <v>567</v>
      </c>
      <c r="F233" s="13">
        <f>F$34</f>
        <v>39449</v>
      </c>
      <c r="G233" s="13">
        <f>F233+G223-G241</f>
        <v>39713.169179558776</v>
      </c>
      <c r="H233" s="13">
        <f t="shared" ref="H233:L233" si="131">G233+H223-H241</f>
        <v>40900.952157012267</v>
      </c>
      <c r="I233" s="13">
        <f t="shared" si="131"/>
        <v>42144.702600660377</v>
      </c>
      <c r="J233" s="13">
        <f t="shared" si="131"/>
        <v>43431.660094390631</v>
      </c>
      <c r="K233" s="13">
        <f t="shared" si="131"/>
        <v>44762.857477878628</v>
      </c>
      <c r="L233" s="13">
        <f t="shared" si="131"/>
        <v>46128.653102056232</v>
      </c>
    </row>
    <row r="234" spans="1:12" s="149" customFormat="1" hidden="1">
      <c r="A234" s="149" t="s">
        <v>568</v>
      </c>
      <c r="F234" s="13">
        <f>F$35</f>
        <v>8345</v>
      </c>
      <c r="G234" s="13">
        <f>G228-G232-G233</f>
        <v>10419.519193225024</v>
      </c>
      <c r="H234" s="13">
        <f t="shared" ref="H234:L234" si="132">H228-H232-H233</f>
        <v>11402.491923074223</v>
      </c>
      <c r="I234" s="13">
        <f t="shared" si="132"/>
        <v>12467.423422489192</v>
      </c>
      <c r="J234" s="13">
        <f t="shared" si="132"/>
        <v>13302.989971263414</v>
      </c>
      <c r="K234" s="13">
        <f t="shared" si="132"/>
        <v>13013.373156880465</v>
      </c>
      <c r="L234" s="13">
        <f t="shared" si="132"/>
        <v>12760.630369344981</v>
      </c>
    </row>
    <row r="235" spans="1:12" s="149" customFormat="1" hidden="1">
      <c r="A235" s="149" t="s">
        <v>569</v>
      </c>
      <c r="F235" s="13">
        <f>F234/(F234+F233)*F232</f>
        <v>990.17648658827466</v>
      </c>
      <c r="G235" s="13">
        <f t="shared" ref="G235" si="133">G234/(G234+G233)*G232</f>
        <v>1320.1263448665591</v>
      </c>
      <c r="H235" s="13">
        <f t="shared" ref="H235" si="134">H234/(H234+H233)*H232</f>
        <v>1472.3601440933703</v>
      </c>
      <c r="I235" s="13">
        <f t="shared" ref="I235" si="135">I234/(I234+I233)*I232</f>
        <v>1637.7946623758235</v>
      </c>
      <c r="J235" s="13">
        <f t="shared" ref="J235" si="136">J234/(J234+J233)*J232</f>
        <v>1785.3178321208031</v>
      </c>
      <c r="K235" s="13">
        <f t="shared" ref="K235" si="137">K234/(K234+K233)*K232</f>
        <v>1818.1476419375938</v>
      </c>
      <c r="L235" s="13">
        <f t="shared" ref="L235" si="138">L234/(L234+L233)*L232</f>
        <v>1850.7157642787047</v>
      </c>
    </row>
    <row r="236" spans="1:12" s="149" customFormat="1" hidden="1"/>
    <row r="237" spans="1:12" hidden="1">
      <c r="A237" s="26" t="s">
        <v>32</v>
      </c>
    </row>
    <row r="238" spans="1:12" hidden="1">
      <c r="A238" t="s">
        <v>27</v>
      </c>
      <c r="B238" s="50">
        <f t="shared" ref="B238:E238" si="139">B$39</f>
        <v>1568</v>
      </c>
      <c r="C238" s="50">
        <f t="shared" si="139"/>
        <v>2928</v>
      </c>
      <c r="D238" s="50">
        <f t="shared" si="139"/>
        <v>3531</v>
      </c>
      <c r="E238" s="50">
        <f t="shared" si="139"/>
        <v>2907</v>
      </c>
      <c r="F238" s="50">
        <f>F$39</f>
        <v>2198</v>
      </c>
      <c r="G238" s="15">
        <f>return_stat_fy17*(F228+G223/2)-SUM(G$17:G$18)</f>
        <v>2770.5191932250204</v>
      </c>
      <c r="H238" s="15">
        <f>return_stat*(G228+H223/2)-SUM(H$17:H$18)</f>
        <v>3388.1181972481245</v>
      </c>
      <c r="I238" s="15">
        <f>return_stat*(H228+I223/2)-SUM(I$17:I$18)</f>
        <v>3545.757969194457</v>
      </c>
      <c r="J238" s="15">
        <f>return_stat*(I228+J223/2)-SUM(J$17:J$18)</f>
        <v>3712.8922451141916</v>
      </c>
      <c r="K238" s="15">
        <f>return_stat*(J228+K223/2)-SUM(K$17:K$18)</f>
        <v>3870.1802729110905</v>
      </c>
      <c r="L238" s="15">
        <f>return_stat*(K228+L223/2)-SUM(L$17:L$18)</f>
        <v>3959.5379041033284</v>
      </c>
    </row>
    <row r="239" spans="1:12" s="149" customFormat="1" hidden="1">
      <c r="A239" s="149" t="s">
        <v>584</v>
      </c>
      <c r="B239" s="50"/>
      <c r="C239" s="50"/>
      <c r="D239" s="50"/>
      <c r="E239" s="50"/>
      <c r="F239" s="50"/>
      <c r="G239" s="15">
        <f>G235-F235</f>
        <v>329.94985827828441</v>
      </c>
      <c r="H239" s="15">
        <f t="shared" ref="H239:L239" si="140">H235-G235</f>
        <v>152.23379922681124</v>
      </c>
      <c r="I239" s="15">
        <f t="shared" si="140"/>
        <v>165.43451828245315</v>
      </c>
      <c r="J239" s="15">
        <f t="shared" si="140"/>
        <v>147.52316974497967</v>
      </c>
      <c r="K239" s="15">
        <f t="shared" si="140"/>
        <v>32.829809816790657</v>
      </c>
      <c r="L239" s="15">
        <f t="shared" si="140"/>
        <v>32.568122341110893</v>
      </c>
    </row>
    <row r="240" spans="1:12" hidden="1">
      <c r="A240" t="s">
        <v>25</v>
      </c>
      <c r="G240" s="1">
        <f>G225</f>
        <v>-696</v>
      </c>
      <c r="H240" s="1">
        <f t="shared" ref="H240:L240" si="141">H225</f>
        <v>-1505.124515288627</v>
      </c>
      <c r="I240" s="1">
        <f t="shared" si="141"/>
        <v>-1553.4369259996802</v>
      </c>
      <c r="J240" s="1">
        <f t="shared" si="141"/>
        <v>-1554.986512765098</v>
      </c>
      <c r="K240" s="1">
        <f t="shared" si="141"/>
        <v>-1639.6051985020883</v>
      </c>
      <c r="L240" s="1">
        <f t="shared" si="141"/>
        <v>-1815.1841271577528</v>
      </c>
    </row>
    <row r="241" spans="1:12" hidden="1">
      <c r="A241" t="s">
        <v>33</v>
      </c>
      <c r="G241" s="1">
        <f>-inflation_fy17*(F233+G223)*'Common Inputs'!B78</f>
        <v>0</v>
      </c>
      <c r="H241" s="1">
        <f>-inflation*(G233+H223)*'Common Inputs'!C78</f>
        <v>-900.02095211029439</v>
      </c>
      <c r="I241" s="1">
        <f>-inflation*(H233+I223)*'Common Inputs'!D78</f>
        <v>-927.3895437798127</v>
      </c>
      <c r="J241" s="1">
        <f>-inflation*(I233+J223)*'Common Inputs'!E78</f>
        <v>-955.70890183255665</v>
      </c>
      <c r="K241" s="1">
        <f>-inflation*(J233+K223)*'Common Inputs'!F78</f>
        <v>-985.00175379195025</v>
      </c>
      <c r="L241" s="1">
        <f>-inflation*(K233+L223)*'Common Inputs'!G78</f>
        <v>-1015.0559362310662</v>
      </c>
    </row>
    <row r="242" spans="1:12" s="149" customFormat="1" hidden="1">
      <c r="A242" s="149" t="s">
        <v>722</v>
      </c>
      <c r="G242" s="1">
        <f>G226</f>
        <v>0</v>
      </c>
      <c r="H242" s="1"/>
      <c r="I242" s="1"/>
      <c r="J242" s="1"/>
      <c r="K242" s="1"/>
      <c r="L242" s="1"/>
    </row>
    <row r="243" spans="1:12" hidden="1">
      <c r="A243" s="31" t="s">
        <v>23</v>
      </c>
      <c r="B243" s="31"/>
      <c r="C243" s="31"/>
      <c r="D243" s="31"/>
      <c r="E243" s="31"/>
      <c r="F243" s="31"/>
      <c r="G243" s="2">
        <f t="shared" ref="G243:L243" si="142">G227</f>
        <v>0</v>
      </c>
      <c r="H243" s="2">
        <f t="shared" si="142"/>
        <v>0</v>
      </c>
      <c r="I243" s="2">
        <f t="shared" si="142"/>
        <v>0</v>
      </c>
      <c r="J243" s="2">
        <f t="shared" si="142"/>
        <v>-366.63028174232022</v>
      </c>
      <c r="K243" s="2">
        <f t="shared" si="142"/>
        <v>-1535.1901349999994</v>
      </c>
      <c r="L243" s="2">
        <f t="shared" si="142"/>
        <v>-1382.0406282499998</v>
      </c>
    </row>
    <row r="244" spans="1:12" hidden="1">
      <c r="A244" s="104" t="s">
        <v>158</v>
      </c>
      <c r="B244" s="5"/>
      <c r="C244" s="5"/>
      <c r="D244" s="5"/>
      <c r="E244" s="5"/>
      <c r="F244" s="5"/>
      <c r="G244" s="7">
        <f>SUM(G238:G243)</f>
        <v>2404.4690515033049</v>
      </c>
      <c r="H244" s="7">
        <f t="shared" ref="H244:L244" si="143">SUM(H238:H243)</f>
        <v>1135.2065290760142</v>
      </c>
      <c r="I244" s="7">
        <f t="shared" si="143"/>
        <v>1230.3660176974172</v>
      </c>
      <c r="J244" s="7">
        <f t="shared" si="143"/>
        <v>983.08971851919637</v>
      </c>
      <c r="K244" s="7">
        <f t="shared" si="143"/>
        <v>-256.78700456615707</v>
      </c>
      <c r="L244" s="7">
        <f t="shared" si="143"/>
        <v>-220.17466519437926</v>
      </c>
    </row>
    <row r="245" spans="1:12" hidden="1">
      <c r="A245" s="106" t="s">
        <v>16</v>
      </c>
      <c r="B245" s="107"/>
      <c r="C245" s="107"/>
      <c r="D245" s="107"/>
      <c r="E245" s="107"/>
      <c r="F245" s="108">
        <f>F$45</f>
        <v>9266</v>
      </c>
      <c r="G245" s="110">
        <f>MAX(0,F245+G244)</f>
        <v>11670.469051503305</v>
      </c>
      <c r="H245" s="110">
        <f>MAX(0,G245+H244)</f>
        <v>12805.67558057932</v>
      </c>
      <c r="I245" s="110">
        <f t="shared" ref="I245:L245" si="144">MAX(0,H245+I244)</f>
        <v>14036.041598276737</v>
      </c>
      <c r="J245" s="110">
        <f t="shared" si="144"/>
        <v>15019.131316795934</v>
      </c>
      <c r="K245" s="110">
        <f t="shared" si="144"/>
        <v>14762.344312229778</v>
      </c>
      <c r="L245" s="110">
        <f t="shared" si="144"/>
        <v>14542.169647035398</v>
      </c>
    </row>
    <row r="246" spans="1:12" ht="18" customHeight="1">
      <c r="A246" s="33"/>
      <c r="B246" s="28"/>
      <c r="C246" s="28"/>
      <c r="D246" s="28"/>
      <c r="E246" s="28"/>
      <c r="F246" s="28"/>
      <c r="G246" s="7"/>
      <c r="H246" s="7"/>
      <c r="I246" s="7"/>
      <c r="J246" s="7"/>
      <c r="K246" s="7"/>
      <c r="L246" s="7"/>
    </row>
    <row r="247" spans="1:12" s="149" customFormat="1">
      <c r="A247" s="33"/>
      <c r="C247" s="28"/>
      <c r="D247" s="28"/>
      <c r="E247" s="28"/>
      <c r="F247" s="28"/>
      <c r="G247" s="28"/>
      <c r="H247" s="7"/>
      <c r="I247" s="7"/>
      <c r="J247" s="7"/>
      <c r="K247" s="7"/>
      <c r="L247" s="7"/>
    </row>
  </sheetData>
  <pageMargins left="0.7" right="0.7" top="0.75" bottom="0.75" header="0.3" footer="0.3"/>
  <pageSetup scale="26" orientation="landscape" horizontalDpi="4294967293" verticalDpi="4294967293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188"/>
  <sheetViews>
    <sheetView zoomScale="120" zoomScaleNormal="120" workbookViewId="0">
      <selection activeCell="A5" sqref="A5"/>
    </sheetView>
  </sheetViews>
  <sheetFormatPr defaultRowHeight="15"/>
  <cols>
    <col min="1" max="1" width="18.5703125" customWidth="1"/>
  </cols>
  <sheetData>
    <row r="1" spans="1:1" ht="18.75">
      <c r="A1" s="18" t="s">
        <v>20</v>
      </c>
    </row>
    <row r="3" spans="1:1" s="149" customFormat="1">
      <c r="A3" s="16" t="s">
        <v>725</v>
      </c>
    </row>
    <row r="4" spans="1:1" s="149" customFormat="1">
      <c r="A4" s="149" t="s">
        <v>746</v>
      </c>
    </row>
    <row r="5" spans="1:1" s="149" customFormat="1">
      <c r="A5" s="149" t="s">
        <v>747</v>
      </c>
    </row>
    <row r="6" spans="1:1" s="149" customFormat="1"/>
    <row r="7" spans="1:1" s="149" customFormat="1">
      <c r="A7" s="16" t="s">
        <v>704</v>
      </c>
    </row>
    <row r="8" spans="1:1" s="149" customFormat="1">
      <c r="A8" s="149" t="s">
        <v>705</v>
      </c>
    </row>
    <row r="9" spans="1:1" s="149" customFormat="1">
      <c r="A9" s="149" t="s">
        <v>706</v>
      </c>
    </row>
    <row r="10" spans="1:1" s="149" customFormat="1">
      <c r="A10" s="149" t="s">
        <v>707</v>
      </c>
    </row>
    <row r="11" spans="1:1" s="149" customFormat="1">
      <c r="A11" s="149" t="s">
        <v>724</v>
      </c>
    </row>
    <row r="12" spans="1:1" s="149" customFormat="1"/>
    <row r="13" spans="1:1" s="149" customFormat="1">
      <c r="A13" s="16" t="s">
        <v>681</v>
      </c>
    </row>
    <row r="14" spans="1:1" s="149" customFormat="1">
      <c r="A14" s="149" t="s">
        <v>682</v>
      </c>
    </row>
    <row r="15" spans="1:1" s="149" customFormat="1">
      <c r="A15" s="149" t="s">
        <v>683</v>
      </c>
    </row>
    <row r="16" spans="1:1" s="149" customFormat="1">
      <c r="A16" s="149" t="s">
        <v>684</v>
      </c>
    </row>
    <row r="17" spans="1:1" s="149" customFormat="1">
      <c r="A17" s="149" t="s">
        <v>694</v>
      </c>
    </row>
    <row r="18" spans="1:1" s="149" customFormat="1"/>
    <row r="19" spans="1:1" s="149" customFormat="1">
      <c r="A19" s="16" t="s">
        <v>642</v>
      </c>
    </row>
    <row r="20" spans="1:1" s="149" customFormat="1">
      <c r="A20" s="39" t="s">
        <v>665</v>
      </c>
    </row>
    <row r="21" spans="1:1" s="149" customFormat="1">
      <c r="A21" s="149" t="s">
        <v>643</v>
      </c>
    </row>
    <row r="22" spans="1:1" s="149" customFormat="1">
      <c r="A22" s="149" t="s">
        <v>646</v>
      </c>
    </row>
    <row r="23" spans="1:1" s="149" customFormat="1">
      <c r="A23" s="149" t="s">
        <v>647</v>
      </c>
    </row>
    <row r="24" spans="1:1" s="149" customFormat="1">
      <c r="A24" s="149" t="s">
        <v>666</v>
      </c>
    </row>
    <row r="25" spans="1:1" s="149" customFormat="1"/>
    <row r="26" spans="1:1" s="149" customFormat="1">
      <c r="A26" s="16" t="s">
        <v>621</v>
      </c>
    </row>
    <row r="27" spans="1:1" s="149" customFormat="1">
      <c r="A27" s="149" t="s">
        <v>622</v>
      </c>
    </row>
    <row r="28" spans="1:1" s="149" customFormat="1">
      <c r="A28" s="149" t="s">
        <v>623</v>
      </c>
    </row>
    <row r="29" spans="1:1" s="149" customFormat="1"/>
    <row r="30" spans="1:1" s="149" customFormat="1">
      <c r="A30" s="16" t="s">
        <v>587</v>
      </c>
    </row>
    <row r="31" spans="1:1" s="149" customFormat="1">
      <c r="A31" s="149" t="s">
        <v>607</v>
      </c>
    </row>
    <row r="32" spans="1:1" s="149" customFormat="1">
      <c r="A32" s="149" t="s">
        <v>608</v>
      </c>
    </row>
    <row r="33" spans="1:1" s="149" customFormat="1">
      <c r="A33" s="149" t="s">
        <v>609</v>
      </c>
    </row>
    <row r="34" spans="1:1" s="149" customFormat="1">
      <c r="A34" s="149" t="s">
        <v>610</v>
      </c>
    </row>
    <row r="35" spans="1:1" s="149" customFormat="1">
      <c r="A35" s="149" t="s">
        <v>611</v>
      </c>
    </row>
    <row r="36" spans="1:1" s="149" customFormat="1"/>
    <row r="37" spans="1:1" s="149" customFormat="1">
      <c r="A37" s="16" t="s">
        <v>385</v>
      </c>
    </row>
    <row r="38" spans="1:1" s="149" customFormat="1">
      <c r="A38" s="149" t="s">
        <v>386</v>
      </c>
    </row>
    <row r="39" spans="1:1" s="149" customFormat="1">
      <c r="A39" s="149" t="s">
        <v>387</v>
      </c>
    </row>
    <row r="40" spans="1:1" s="149" customFormat="1"/>
    <row r="41" spans="1:1" s="149" customFormat="1">
      <c r="A41" s="16" t="s">
        <v>370</v>
      </c>
    </row>
    <row r="42" spans="1:1" s="149" customFormat="1">
      <c r="A42" s="149" t="s">
        <v>374</v>
      </c>
    </row>
    <row r="43" spans="1:1" s="149" customFormat="1">
      <c r="A43" s="149" t="s">
        <v>375</v>
      </c>
    </row>
    <row r="44" spans="1:1" s="149" customFormat="1">
      <c r="A44" s="149" t="s">
        <v>376</v>
      </c>
    </row>
    <row r="45" spans="1:1" s="149" customFormat="1"/>
    <row r="46" spans="1:1" s="149" customFormat="1" ht="15.75">
      <c r="A46" s="21" t="s">
        <v>328</v>
      </c>
    </row>
    <row r="47" spans="1:1" s="149" customFormat="1">
      <c r="A47" s="149" t="s">
        <v>329</v>
      </c>
    </row>
    <row r="48" spans="1:1" s="149" customFormat="1">
      <c r="A48" s="149" t="s">
        <v>330</v>
      </c>
    </row>
    <row r="49" spans="1:1" s="149" customFormat="1"/>
    <row r="50" spans="1:1" s="149" customFormat="1" ht="15.75">
      <c r="A50" s="21" t="s">
        <v>305</v>
      </c>
    </row>
    <row r="51" spans="1:1" s="149" customFormat="1">
      <c r="A51" s="149" t="s">
        <v>306</v>
      </c>
    </row>
    <row r="52" spans="1:1" s="149" customFormat="1">
      <c r="A52" s="149" t="s">
        <v>307</v>
      </c>
    </row>
    <row r="53" spans="1:1" s="149" customFormat="1">
      <c r="A53" s="149" t="s">
        <v>308</v>
      </c>
    </row>
    <row r="54" spans="1:1" s="149" customFormat="1"/>
    <row r="55" spans="1:1" ht="15.75">
      <c r="A55" s="21" t="s">
        <v>282</v>
      </c>
    </row>
    <row r="56" spans="1:1">
      <c r="A56" t="s">
        <v>278</v>
      </c>
    </row>
    <row r="57" spans="1:1">
      <c r="A57" t="s">
        <v>276</v>
      </c>
    </row>
    <row r="58" spans="1:1">
      <c r="A58" t="s">
        <v>277</v>
      </c>
    </row>
    <row r="59" spans="1:1">
      <c r="A59" t="s">
        <v>281</v>
      </c>
    </row>
    <row r="61" spans="1:1" ht="15.75">
      <c r="A61" s="21" t="s">
        <v>262</v>
      </c>
    </row>
    <row r="62" spans="1:1">
      <c r="A62" t="s">
        <v>249</v>
      </c>
    </row>
    <row r="63" spans="1:1">
      <c r="A63" t="s">
        <v>250</v>
      </c>
    </row>
    <row r="64" spans="1:1">
      <c r="A64" t="s">
        <v>255</v>
      </c>
    </row>
    <row r="65" spans="1:1">
      <c r="A65" t="s">
        <v>256</v>
      </c>
    </row>
    <row r="66" spans="1:1">
      <c r="A66" t="s">
        <v>257</v>
      </c>
    </row>
    <row r="67" spans="1:1">
      <c r="A67" t="s">
        <v>251</v>
      </c>
    </row>
    <row r="68" spans="1:1">
      <c r="A68" t="s">
        <v>261</v>
      </c>
    </row>
    <row r="69" spans="1:1">
      <c r="A69" t="s">
        <v>252</v>
      </c>
    </row>
    <row r="70" spans="1:1">
      <c r="A70" t="s">
        <v>253</v>
      </c>
    </row>
    <row r="72" spans="1:1" ht="15.75">
      <c r="A72" s="21" t="s">
        <v>246</v>
      </c>
    </row>
    <row r="73" spans="1:1">
      <c r="A73" t="s">
        <v>223</v>
      </c>
    </row>
    <row r="74" spans="1:1">
      <c r="A74" t="s">
        <v>236</v>
      </c>
    </row>
    <row r="75" spans="1:1">
      <c r="A75" t="s">
        <v>239</v>
      </c>
    </row>
    <row r="76" spans="1:1">
      <c r="A76" t="s">
        <v>247</v>
      </c>
    </row>
    <row r="77" spans="1:1">
      <c r="A77" t="s">
        <v>240</v>
      </c>
    </row>
    <row r="78" spans="1:1">
      <c r="A78" t="s">
        <v>237</v>
      </c>
    </row>
    <row r="79" spans="1:1">
      <c r="A79" t="s">
        <v>238</v>
      </c>
    </row>
    <row r="81" spans="1:1" ht="15.75">
      <c r="A81" s="21" t="s">
        <v>209</v>
      </c>
    </row>
    <row r="82" spans="1:1">
      <c r="A82" t="s">
        <v>219</v>
      </c>
    </row>
    <row r="83" spans="1:1">
      <c r="A83" t="s">
        <v>211</v>
      </c>
    </row>
    <row r="84" spans="1:1">
      <c r="A84" t="s">
        <v>212</v>
      </c>
    </row>
    <row r="85" spans="1:1">
      <c r="A85" t="s">
        <v>214</v>
      </c>
    </row>
    <row r="86" spans="1:1">
      <c r="A86" t="s">
        <v>213</v>
      </c>
    </row>
    <row r="87" spans="1:1">
      <c r="A87" t="s">
        <v>220</v>
      </c>
    </row>
    <row r="88" spans="1:1">
      <c r="A88" t="s">
        <v>221</v>
      </c>
    </row>
    <row r="89" spans="1:1">
      <c r="A89" t="s">
        <v>222</v>
      </c>
    </row>
    <row r="90" spans="1:1">
      <c r="A90" t="s">
        <v>215</v>
      </c>
    </row>
    <row r="91" spans="1:1">
      <c r="A91" t="s">
        <v>216</v>
      </c>
    </row>
    <row r="92" spans="1:1">
      <c r="A92" t="s">
        <v>218</v>
      </c>
    </row>
    <row r="93" spans="1:1">
      <c r="A93" t="s">
        <v>217</v>
      </c>
    </row>
    <row r="95" spans="1:1" ht="15.75">
      <c r="A95" s="21" t="s">
        <v>203</v>
      </c>
    </row>
    <row r="96" spans="1:1">
      <c r="A96" t="s">
        <v>174</v>
      </c>
    </row>
    <row r="97" spans="1:1">
      <c r="A97" t="s">
        <v>175</v>
      </c>
    </row>
    <row r="98" spans="1:1">
      <c r="A98" t="s">
        <v>176</v>
      </c>
    </row>
    <row r="99" spans="1:1">
      <c r="A99" t="s">
        <v>177</v>
      </c>
    </row>
    <row r="100" spans="1:1">
      <c r="A100" t="s">
        <v>178</v>
      </c>
    </row>
    <row r="101" spans="1:1">
      <c r="A101" t="s">
        <v>179</v>
      </c>
    </row>
    <row r="102" spans="1:1">
      <c r="A102" t="s">
        <v>181</v>
      </c>
    </row>
    <row r="103" spans="1:1">
      <c r="A103" t="s">
        <v>180</v>
      </c>
    </row>
    <row r="104" spans="1:1">
      <c r="A104" t="s">
        <v>191</v>
      </c>
    </row>
    <row r="105" spans="1:1">
      <c r="A105" t="s">
        <v>192</v>
      </c>
    </row>
    <row r="106" spans="1:1">
      <c r="A106" t="s">
        <v>195</v>
      </c>
    </row>
    <row r="107" spans="1:1">
      <c r="A107" t="s">
        <v>202</v>
      </c>
    </row>
    <row r="109" spans="1:1" ht="15.75">
      <c r="A109" s="21" t="s">
        <v>170</v>
      </c>
    </row>
    <row r="110" spans="1:1">
      <c r="A110" t="s">
        <v>155</v>
      </c>
    </row>
    <row r="111" spans="1:1">
      <c r="A111" t="s">
        <v>156</v>
      </c>
    </row>
    <row r="112" spans="1:1">
      <c r="A112" t="s">
        <v>157</v>
      </c>
    </row>
    <row r="113" spans="1:1">
      <c r="A113" t="s">
        <v>169</v>
      </c>
    </row>
    <row r="114" spans="1:1">
      <c r="A114" t="s">
        <v>171</v>
      </c>
    </row>
    <row r="115" spans="1:1">
      <c r="A115" t="s">
        <v>172</v>
      </c>
    </row>
    <row r="117" spans="1:1" ht="15.75">
      <c r="A117" s="21" t="s">
        <v>151</v>
      </c>
    </row>
    <row r="118" spans="1:1">
      <c r="A118" t="s">
        <v>153</v>
      </c>
    </row>
    <row r="119" spans="1:1">
      <c r="A119" t="s">
        <v>154</v>
      </c>
    </row>
    <row r="120" spans="1:1">
      <c r="A120" t="s">
        <v>152</v>
      </c>
    </row>
    <row r="122" spans="1:1" ht="15.75">
      <c r="A122" s="21" t="s">
        <v>145</v>
      </c>
    </row>
    <row r="123" spans="1:1">
      <c r="A123" t="s">
        <v>146</v>
      </c>
    </row>
    <row r="124" spans="1:1">
      <c r="A124" t="s">
        <v>149</v>
      </c>
    </row>
    <row r="125" spans="1:1">
      <c r="A125" t="s">
        <v>148</v>
      </c>
    </row>
    <row r="126" spans="1:1">
      <c r="A126" t="s">
        <v>147</v>
      </c>
    </row>
    <row r="128" spans="1:1" ht="15.75">
      <c r="A128" s="21" t="s">
        <v>141</v>
      </c>
    </row>
    <row r="129" spans="1:1">
      <c r="A129" t="s">
        <v>142</v>
      </c>
    </row>
    <row r="131" spans="1:1" ht="15.75">
      <c r="A131" s="21" t="s">
        <v>129</v>
      </c>
    </row>
    <row r="132" spans="1:1">
      <c r="A132" t="s">
        <v>112</v>
      </c>
    </row>
    <row r="133" spans="1:1">
      <c r="A133" t="s">
        <v>124</v>
      </c>
    </row>
    <row r="134" spans="1:1">
      <c r="A134" t="s">
        <v>125</v>
      </c>
    </row>
    <row r="135" spans="1:1">
      <c r="A135" t="s">
        <v>128</v>
      </c>
    </row>
    <row r="137" spans="1:1" ht="15.75">
      <c r="A137" s="21" t="s">
        <v>104</v>
      </c>
    </row>
    <row r="138" spans="1:1">
      <c r="A138" t="s">
        <v>105</v>
      </c>
    </row>
    <row r="139" spans="1:1">
      <c r="A139" t="s">
        <v>106</v>
      </c>
    </row>
    <row r="141" spans="1:1" ht="15.75">
      <c r="A141" s="21" t="s">
        <v>99</v>
      </c>
    </row>
    <row r="142" spans="1:1">
      <c r="A142" t="s">
        <v>100</v>
      </c>
    </row>
    <row r="144" spans="1:1" ht="15.75">
      <c r="A144" s="21" t="s">
        <v>83</v>
      </c>
    </row>
    <row r="145" spans="1:1">
      <c r="A145" t="s">
        <v>84</v>
      </c>
    </row>
    <row r="146" spans="1:1">
      <c r="A146" t="s">
        <v>85</v>
      </c>
    </row>
    <row r="147" spans="1:1">
      <c r="A147" t="s">
        <v>86</v>
      </c>
    </row>
    <row r="148" spans="1:1">
      <c r="A148" t="s">
        <v>87</v>
      </c>
    </row>
    <row r="149" spans="1:1">
      <c r="A149" t="s">
        <v>88</v>
      </c>
    </row>
    <row r="150" spans="1:1">
      <c r="A150" t="s">
        <v>89</v>
      </c>
    </row>
    <row r="151" spans="1:1">
      <c r="A151" t="s">
        <v>90</v>
      </c>
    </row>
    <row r="152" spans="1:1">
      <c r="A152" t="s">
        <v>91</v>
      </c>
    </row>
    <row r="154" spans="1:1" ht="15.75">
      <c r="A154" s="21" t="s">
        <v>77</v>
      </c>
    </row>
    <row r="156" spans="1:1">
      <c r="A156" t="s">
        <v>78</v>
      </c>
    </row>
    <row r="157" spans="1:1">
      <c r="A157" t="s">
        <v>79</v>
      </c>
    </row>
    <row r="158" spans="1:1">
      <c r="A158" t="s">
        <v>80</v>
      </c>
    </row>
    <row r="160" spans="1:1" ht="15.75">
      <c r="A160" s="21" t="s">
        <v>76</v>
      </c>
    </row>
    <row r="162" spans="1:1">
      <c r="A162" t="s">
        <v>73</v>
      </c>
    </row>
    <row r="163" spans="1:1">
      <c r="A163" t="s">
        <v>75</v>
      </c>
    </row>
    <row r="164" spans="1:1">
      <c r="A164" t="s">
        <v>74</v>
      </c>
    </row>
    <row r="166" spans="1:1" ht="15.75">
      <c r="A166" s="21" t="s">
        <v>60</v>
      </c>
    </row>
    <row r="168" spans="1:1">
      <c r="A168" t="s">
        <v>61</v>
      </c>
    </row>
    <row r="169" spans="1:1">
      <c r="A169" t="s">
        <v>62</v>
      </c>
    </row>
    <row r="170" spans="1:1">
      <c r="A170" t="s">
        <v>63</v>
      </c>
    </row>
    <row r="172" spans="1:1">
      <c r="A172" t="s">
        <v>64</v>
      </c>
    </row>
    <row r="173" spans="1:1">
      <c r="A173" t="s">
        <v>65</v>
      </c>
    </row>
    <row r="175" spans="1:1">
      <c r="A175" t="s">
        <v>66</v>
      </c>
    </row>
    <row r="176" spans="1:1">
      <c r="A176" t="s">
        <v>67</v>
      </c>
    </row>
    <row r="177" spans="1:2">
      <c r="A177" t="s">
        <v>68</v>
      </c>
    </row>
    <row r="178" spans="1:2">
      <c r="A178" t="s">
        <v>69</v>
      </c>
    </row>
    <row r="180" spans="1:2">
      <c r="A180" t="s">
        <v>72</v>
      </c>
    </row>
    <row r="182" spans="1:2" ht="15.75">
      <c r="A182" s="21" t="s">
        <v>46</v>
      </c>
    </row>
    <row r="184" spans="1:2">
      <c r="A184" t="s">
        <v>47</v>
      </c>
    </row>
    <row r="186" spans="1:2" ht="15.75">
      <c r="A186" s="21" t="s">
        <v>43</v>
      </c>
      <c r="B186" s="19"/>
    </row>
    <row r="188" spans="1:2">
      <c r="A188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65"/>
  <sheetViews>
    <sheetView showGridLines="0" tabSelected="1" zoomScale="120" zoomScaleNormal="120" workbookViewId="0"/>
  </sheetViews>
  <sheetFormatPr defaultRowHeight="15"/>
  <sheetData>
    <row r="1" spans="1:1" s="149" customFormat="1" ht="23.25">
      <c r="A1" s="24" t="s">
        <v>588</v>
      </c>
    </row>
    <row r="2" spans="1:1" s="149" customFormat="1">
      <c r="A2" s="39" t="s">
        <v>725</v>
      </c>
    </row>
    <row r="3" spans="1:1" s="149" customFormat="1">
      <c r="A3" s="149" t="s">
        <v>210</v>
      </c>
    </row>
    <row r="4" spans="1:1" s="149" customFormat="1"/>
    <row r="5" spans="1:1" s="149" customFormat="1">
      <c r="A5" s="149" t="s">
        <v>753</v>
      </c>
    </row>
    <row r="6" spans="1:1" s="149" customFormat="1">
      <c r="A6" s="149" t="s">
        <v>726</v>
      </c>
    </row>
    <row r="7" spans="1:1" s="149" customFormat="1">
      <c r="A7" s="149" t="s">
        <v>754</v>
      </c>
    </row>
    <row r="8" spans="1:1" s="149" customFormat="1">
      <c r="A8" s="149" t="s">
        <v>727</v>
      </c>
    </row>
    <row r="9" spans="1:1" s="149" customFormat="1">
      <c r="A9" s="149" t="s">
        <v>755</v>
      </c>
    </row>
    <row r="10" spans="1:1" s="149" customFormat="1">
      <c r="A10" s="149" t="s">
        <v>756</v>
      </c>
    </row>
    <row r="11" spans="1:1" s="149" customFormat="1" ht="8.25" customHeight="1"/>
    <row r="12" spans="1:1" s="149" customFormat="1">
      <c r="A12" s="149" t="s">
        <v>605</v>
      </c>
    </row>
    <row r="13" spans="1:1" s="149" customFormat="1">
      <c r="A13" s="149" t="s">
        <v>619</v>
      </c>
    </row>
    <row r="14" spans="1:1" s="149" customFormat="1">
      <c r="A14" s="149" t="s">
        <v>576</v>
      </c>
    </row>
    <row r="15" spans="1:1" s="149" customFormat="1">
      <c r="A15" s="149" t="s">
        <v>653</v>
      </c>
    </row>
    <row r="16" spans="1:1" s="149" customFormat="1">
      <c r="A16" s="149" t="s">
        <v>577</v>
      </c>
    </row>
    <row r="17" spans="1:1" s="149" customFormat="1">
      <c r="A17" s="149" t="s">
        <v>612</v>
      </c>
    </row>
    <row r="18" spans="1:1" s="149" customFormat="1">
      <c r="A18" s="149" t="s">
        <v>578</v>
      </c>
    </row>
    <row r="19" spans="1:1" s="149" customFormat="1">
      <c r="A19" s="149" t="s">
        <v>654</v>
      </c>
    </row>
    <row r="20" spans="1:1" s="149" customFormat="1">
      <c r="A20" s="149" t="s">
        <v>580</v>
      </c>
    </row>
    <row r="21" spans="1:1" s="149" customFormat="1">
      <c r="A21" s="149" t="s">
        <v>579</v>
      </c>
    </row>
    <row r="22" spans="1:1" s="149" customFormat="1">
      <c r="A22" s="149" t="s">
        <v>585</v>
      </c>
    </row>
    <row r="23" spans="1:1" s="149" customFormat="1">
      <c r="A23" s="149" t="s">
        <v>586</v>
      </c>
    </row>
    <row r="24" spans="1:1" s="149" customFormat="1">
      <c r="A24" s="149" t="s">
        <v>581</v>
      </c>
    </row>
    <row r="25" spans="1:1" s="149" customFormat="1" ht="9" customHeight="1"/>
    <row r="26" spans="1:1" s="149" customFormat="1">
      <c r="A26" s="149" t="s">
        <v>628</v>
      </c>
    </row>
    <row r="27" spans="1:1" s="149" customFormat="1">
      <c r="A27" s="149" t="s">
        <v>613</v>
      </c>
    </row>
    <row r="28" spans="1:1" s="149" customFormat="1">
      <c r="A28" s="149" t="s">
        <v>614</v>
      </c>
    </row>
    <row r="29" spans="1:1" s="149" customFormat="1">
      <c r="A29" s="149" t="s">
        <v>615</v>
      </c>
    </row>
    <row r="30" spans="1:1" s="149" customFormat="1">
      <c r="A30" s="149" t="s">
        <v>616</v>
      </c>
    </row>
    <row r="31" spans="1:1" s="149" customFormat="1">
      <c r="A31" s="149" t="s">
        <v>624</v>
      </c>
    </row>
    <row r="32" spans="1:1" s="149" customFormat="1">
      <c r="A32" s="149" t="s">
        <v>625</v>
      </c>
    </row>
    <row r="33" spans="1:1" s="149" customFormat="1">
      <c r="A33" s="149" t="s">
        <v>685</v>
      </c>
    </row>
    <row r="34" spans="1:1" s="149" customFormat="1">
      <c r="A34" s="149" t="s">
        <v>686</v>
      </c>
    </row>
    <row r="35" spans="1:1" s="149" customFormat="1">
      <c r="A35" s="149" t="s">
        <v>687</v>
      </c>
    </row>
    <row r="36" spans="1:1" s="149" customFormat="1">
      <c r="A36" s="149" t="s">
        <v>641</v>
      </c>
    </row>
    <row r="37" spans="1:1" s="149" customFormat="1">
      <c r="A37" s="149" t="s">
        <v>618</v>
      </c>
    </row>
    <row r="38" spans="1:1" s="149" customFormat="1">
      <c r="A38" s="149" t="s">
        <v>626</v>
      </c>
    </row>
    <row r="39" spans="1:1">
      <c r="A39" t="s">
        <v>627</v>
      </c>
    </row>
    <row r="41" spans="1:1">
      <c r="A41" t="s">
        <v>629</v>
      </c>
    </row>
    <row r="48" spans="1:1">
      <c r="A48" t="s">
        <v>630</v>
      </c>
    </row>
    <row r="49" spans="1:1">
      <c r="A49" t="s">
        <v>631</v>
      </c>
    </row>
    <row r="51" spans="1:1" s="149" customFormat="1">
      <c r="A51" s="149" t="s">
        <v>635</v>
      </c>
    </row>
    <row r="52" spans="1:1" s="149" customFormat="1">
      <c r="A52" s="149" t="s">
        <v>636</v>
      </c>
    </row>
    <row r="53" spans="1:1" s="149" customFormat="1">
      <c r="A53" s="149" t="s">
        <v>637</v>
      </c>
    </row>
    <row r="54" spans="1:1">
      <c r="A54" t="s">
        <v>638</v>
      </c>
    </row>
    <row r="55" spans="1:1">
      <c r="A55" t="s">
        <v>639</v>
      </c>
    </row>
    <row r="62" spans="1:1">
      <c r="A62" t="s">
        <v>632</v>
      </c>
    </row>
    <row r="63" spans="1:1">
      <c r="A63" t="s">
        <v>633</v>
      </c>
    </row>
    <row r="64" spans="1:1">
      <c r="A64" t="s">
        <v>640</v>
      </c>
    </row>
    <row r="65" spans="1:1">
      <c r="A65" t="s">
        <v>634</v>
      </c>
    </row>
  </sheetData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A6"/>
  <sheetViews>
    <sheetView workbookViewId="0">
      <selection activeCell="A3" sqref="A3"/>
    </sheetView>
  </sheetViews>
  <sheetFormatPr defaultRowHeight="15"/>
  <sheetData>
    <row r="1" spans="1:1" ht="18.75">
      <c r="A1" s="18" t="s">
        <v>297</v>
      </c>
    </row>
    <row r="6" spans="1:1">
      <c r="A6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>
    <pageSetUpPr fitToPage="1"/>
  </sheetPr>
  <dimension ref="A1:O80"/>
  <sheetViews>
    <sheetView zoomScale="120" zoomScaleNormal="120" workbookViewId="0"/>
  </sheetViews>
  <sheetFormatPr defaultRowHeight="15"/>
  <cols>
    <col min="1" max="1" width="45.7109375" customWidth="1"/>
    <col min="2" max="2" width="9.5703125" bestFit="1" customWidth="1"/>
    <col min="3" max="3" width="10.28515625" customWidth="1"/>
    <col min="5" max="5" width="10.140625" customWidth="1"/>
    <col min="8" max="8" width="10.42578125" customWidth="1"/>
  </cols>
  <sheetData>
    <row r="1" spans="1:8" ht="21">
      <c r="A1" s="45" t="s">
        <v>184</v>
      </c>
    </row>
    <row r="2" spans="1:8">
      <c r="A2" t="s">
        <v>190</v>
      </c>
    </row>
    <row r="3" spans="1:8" ht="6" customHeight="1"/>
    <row r="4" spans="1:8">
      <c r="A4" t="s">
        <v>606</v>
      </c>
    </row>
    <row r="5" spans="1:8">
      <c r="A5" t="s">
        <v>187</v>
      </c>
    </row>
    <row r="7" spans="1:8" ht="18.75">
      <c r="A7" s="18" t="s">
        <v>183</v>
      </c>
    </row>
    <row r="8" spans="1:8" ht="6.75" customHeight="1"/>
    <row r="9" spans="1:8">
      <c r="A9" s="12" t="s">
        <v>182</v>
      </c>
    </row>
    <row r="10" spans="1:8">
      <c r="A10" s="31"/>
      <c r="B10" s="11" t="s">
        <v>107</v>
      </c>
      <c r="C10" s="11" t="s">
        <v>108</v>
      </c>
      <c r="D10" s="11" t="s">
        <v>109</v>
      </c>
      <c r="E10" s="11" t="s">
        <v>110</v>
      </c>
      <c r="F10" s="11" t="s">
        <v>111</v>
      </c>
      <c r="G10" s="11" t="s">
        <v>285</v>
      </c>
    </row>
    <row r="11" spans="1:8">
      <c r="A11" t="s">
        <v>620</v>
      </c>
      <c r="B11" s="118">
        <v>46.81</v>
      </c>
      <c r="C11" s="118">
        <v>54</v>
      </c>
      <c r="D11" s="118">
        <v>60</v>
      </c>
      <c r="E11" s="118">
        <v>63</v>
      </c>
      <c r="F11" s="118">
        <v>67</v>
      </c>
      <c r="G11" s="118">
        <v>71</v>
      </c>
      <c r="H11" t="s">
        <v>188</v>
      </c>
    </row>
    <row r="12" spans="1:8">
      <c r="A12" s="31" t="s">
        <v>347</v>
      </c>
      <c r="B12" s="119">
        <v>505.8</v>
      </c>
      <c r="C12" s="119">
        <v>469.7</v>
      </c>
      <c r="D12" s="119">
        <v>457.8</v>
      </c>
      <c r="E12" s="119">
        <v>443.1</v>
      </c>
      <c r="F12" s="119">
        <v>426.5</v>
      </c>
      <c r="G12" s="119">
        <v>410</v>
      </c>
      <c r="H12" t="s">
        <v>348</v>
      </c>
    </row>
    <row r="14" spans="1:8">
      <c r="A14" t="s">
        <v>185</v>
      </c>
    </row>
    <row r="15" spans="1:8">
      <c r="A15" t="s">
        <v>343</v>
      </c>
      <c r="B15" s="114">
        <v>46.81</v>
      </c>
      <c r="C15" s="114">
        <v>54</v>
      </c>
      <c r="D15" s="114">
        <v>60</v>
      </c>
      <c r="E15" s="114">
        <v>63</v>
      </c>
      <c r="F15" s="114">
        <v>67</v>
      </c>
      <c r="G15" s="114">
        <v>71</v>
      </c>
      <c r="H15" t="s">
        <v>344</v>
      </c>
    </row>
    <row r="16" spans="1:8">
      <c r="B16" s="114"/>
      <c r="C16" s="114"/>
      <c r="D16" s="114"/>
      <c r="E16" s="114"/>
      <c r="F16" s="114"/>
      <c r="G16" s="114"/>
    </row>
    <row r="17" spans="1:15">
      <c r="A17" t="s">
        <v>245</v>
      </c>
      <c r="B17" s="114"/>
      <c r="C17" s="114"/>
      <c r="D17" s="114"/>
      <c r="E17" s="114"/>
      <c r="F17" s="114"/>
      <c r="G17" s="114"/>
    </row>
    <row r="18" spans="1:15">
      <c r="A18" t="s">
        <v>349</v>
      </c>
      <c r="B18" s="28">
        <v>505.8</v>
      </c>
      <c r="C18" s="28">
        <v>469.7</v>
      </c>
      <c r="D18" s="28">
        <v>457.8</v>
      </c>
      <c r="E18" s="28">
        <v>443.1</v>
      </c>
      <c r="F18" s="28">
        <v>426.5</v>
      </c>
      <c r="G18" s="28">
        <v>410</v>
      </c>
      <c r="H18" s="149" t="s">
        <v>344</v>
      </c>
    </row>
    <row r="20" spans="1:15" s="149" customFormat="1" ht="18.75">
      <c r="A20" s="18" t="s">
        <v>674</v>
      </c>
    </row>
    <row r="21" spans="1:15" s="149" customFormat="1" ht="7.5" customHeight="1"/>
    <row r="22" spans="1:15" s="149" customFormat="1">
      <c r="A22" s="12" t="s">
        <v>671</v>
      </c>
    </row>
    <row r="23" spans="1:15" s="149" customFormat="1">
      <c r="A23" s="353" t="s">
        <v>332</v>
      </c>
      <c r="B23" s="11" t="s">
        <v>107</v>
      </c>
      <c r="C23" s="11" t="s">
        <v>108</v>
      </c>
      <c r="D23" s="11" t="s">
        <v>109</v>
      </c>
      <c r="E23" s="11" t="s">
        <v>110</v>
      </c>
      <c r="F23" s="11" t="s">
        <v>111</v>
      </c>
      <c r="G23" s="11" t="s">
        <v>285</v>
      </c>
      <c r="J23" s="344" t="s">
        <v>672</v>
      </c>
    </row>
    <row r="24" spans="1:15" s="149" customFormat="1">
      <c r="A24" s="149" t="s">
        <v>335</v>
      </c>
      <c r="B24" s="138">
        <f>3878.4+398.4-30</f>
        <v>4246.8</v>
      </c>
      <c r="C24" s="138">
        <f>3755.3+486.2-74</f>
        <v>4167.5</v>
      </c>
      <c r="D24" s="138">
        <f>3709.7+494.5-54</f>
        <v>4150.2</v>
      </c>
      <c r="E24" s="138">
        <f>3676.3+498.9-53</f>
        <v>4122.2</v>
      </c>
      <c r="F24" s="138">
        <f>3768.2+511.3-62</f>
        <v>4217.5</v>
      </c>
      <c r="G24" s="138">
        <f>3862.4+508.7-73</f>
        <v>4298.1000000000004</v>
      </c>
      <c r="I24" s="36" t="s">
        <v>673</v>
      </c>
      <c r="J24" s="345">
        <v>4246.8</v>
      </c>
      <c r="K24" s="346">
        <v>4167.5</v>
      </c>
      <c r="L24" s="346">
        <v>4150.2</v>
      </c>
      <c r="M24" s="346">
        <v>4122.2</v>
      </c>
      <c r="N24" s="346">
        <v>4217.5</v>
      </c>
      <c r="O24" s="347">
        <v>4298.1000000000004</v>
      </c>
    </row>
    <row r="25" spans="1:15" s="149" customFormat="1">
      <c r="A25" s="5" t="s">
        <v>334</v>
      </c>
      <c r="B25" s="176">
        <v>0</v>
      </c>
      <c r="C25" s="176">
        <v>0</v>
      </c>
      <c r="D25" s="176">
        <v>0</v>
      </c>
      <c r="E25" s="176">
        <v>0</v>
      </c>
      <c r="F25" s="176">
        <v>0</v>
      </c>
      <c r="G25" s="176">
        <v>0</v>
      </c>
      <c r="J25" s="348">
        <v>0</v>
      </c>
      <c r="K25" s="176">
        <v>0</v>
      </c>
      <c r="L25" s="176">
        <v>0</v>
      </c>
      <c r="M25" s="176">
        <v>0</v>
      </c>
      <c r="N25" s="176">
        <v>0</v>
      </c>
      <c r="O25" s="349">
        <v>0</v>
      </c>
    </row>
    <row r="26" spans="1:15" s="149" customFormat="1">
      <c r="A26" s="31" t="s">
        <v>333</v>
      </c>
      <c r="B26" s="354">
        <v>96.1</v>
      </c>
      <c r="C26" s="354">
        <v>115.2</v>
      </c>
      <c r="D26" s="354">
        <v>180</v>
      </c>
      <c r="E26" s="354">
        <v>180</v>
      </c>
      <c r="F26" s="354">
        <v>180</v>
      </c>
      <c r="G26" s="354">
        <v>180</v>
      </c>
      <c r="J26" s="350">
        <v>96.1</v>
      </c>
      <c r="K26" s="351">
        <v>115.2</v>
      </c>
      <c r="L26" s="351">
        <v>180</v>
      </c>
      <c r="M26" s="351">
        <v>180</v>
      </c>
      <c r="N26" s="351">
        <v>180</v>
      </c>
      <c r="O26" s="352">
        <v>180</v>
      </c>
    </row>
    <row r="27" spans="1:15" s="149" customFormat="1">
      <c r="A27" s="143" t="s">
        <v>675</v>
      </c>
      <c r="B27" s="15">
        <f>SUM(B24:B26)-SUM($B$24:$B$26)</f>
        <v>0</v>
      </c>
      <c r="C27" s="15">
        <f t="shared" ref="C27:G27" si="0">SUM(C24:C26)-SUM($B$24:$B$26)</f>
        <v>-60.200000000000728</v>
      </c>
      <c r="D27" s="15">
        <f t="shared" si="0"/>
        <v>-12.700000000000728</v>
      </c>
      <c r="E27" s="15">
        <f t="shared" si="0"/>
        <v>-40.700000000000728</v>
      </c>
      <c r="F27" s="15">
        <f t="shared" si="0"/>
        <v>54.599999999999454</v>
      </c>
      <c r="G27" s="15">
        <f t="shared" si="0"/>
        <v>135.19999999999982</v>
      </c>
    </row>
    <row r="28" spans="1:15" s="149" customFormat="1" ht="8.25" customHeight="1">
      <c r="A28" s="143"/>
      <c r="B28" s="15"/>
      <c r="C28" s="15"/>
      <c r="D28" s="15"/>
      <c r="E28" s="15"/>
      <c r="F28" s="15"/>
      <c r="G28" s="15"/>
    </row>
    <row r="29" spans="1:15" s="149" customFormat="1">
      <c r="A29" s="177" t="s">
        <v>331</v>
      </c>
    </row>
    <row r="31" spans="1:15" ht="18.75">
      <c r="A31" s="18" t="s">
        <v>617</v>
      </c>
      <c r="B31" s="11" t="s">
        <v>107</v>
      </c>
      <c r="C31" s="11" t="s">
        <v>108</v>
      </c>
      <c r="D31" s="11" t="s">
        <v>109</v>
      </c>
      <c r="E31" s="11" t="s">
        <v>110</v>
      </c>
      <c r="F31" s="11" t="s">
        <v>111</v>
      </c>
      <c r="G31" s="11" t="s">
        <v>285</v>
      </c>
    </row>
    <row r="32" spans="1:15">
      <c r="A32" s="12" t="s">
        <v>303</v>
      </c>
    </row>
    <row r="33" spans="1:8" s="149" customFormat="1">
      <c r="A33" t="s">
        <v>288</v>
      </c>
      <c r="B33" s="152">
        <v>200</v>
      </c>
      <c r="C33"/>
    </row>
    <row r="34" spans="1:8">
      <c r="A34" t="s">
        <v>557</v>
      </c>
      <c r="B34" s="169">
        <v>476</v>
      </c>
      <c r="C34" s="130">
        <v>315</v>
      </c>
      <c r="D34" s="130">
        <v>223</v>
      </c>
      <c r="E34" s="130">
        <v>192</v>
      </c>
      <c r="F34" s="130">
        <v>151</v>
      </c>
      <c r="G34" s="130">
        <v>150</v>
      </c>
    </row>
    <row r="35" spans="1:8">
      <c r="A35" s="31" t="s">
        <v>298</v>
      </c>
      <c r="B35" s="170">
        <v>30</v>
      </c>
      <c r="C35" s="153">
        <v>961</v>
      </c>
      <c r="D35" s="153">
        <v>223</v>
      </c>
      <c r="E35" s="153">
        <v>192</v>
      </c>
      <c r="F35" s="153">
        <v>151</v>
      </c>
      <c r="G35" s="153">
        <v>150</v>
      </c>
    </row>
    <row r="36" spans="1:8">
      <c r="A36" t="s">
        <v>304</v>
      </c>
      <c r="B36" s="154">
        <f>B33+B34-B35</f>
        <v>646</v>
      </c>
      <c r="C36" s="154">
        <f>B36+C34-C35</f>
        <v>0</v>
      </c>
      <c r="D36" s="154">
        <f t="shared" ref="D36:G36" si="1">C36+D34-D35</f>
        <v>0</v>
      </c>
      <c r="E36" s="154">
        <f t="shared" si="1"/>
        <v>0</v>
      </c>
      <c r="F36" s="154">
        <f t="shared" si="1"/>
        <v>0</v>
      </c>
      <c r="G36" s="154">
        <f t="shared" si="1"/>
        <v>0</v>
      </c>
    </row>
    <row r="37" spans="1:8" s="149" customFormat="1" ht="7.5" customHeight="1">
      <c r="B37" s="154"/>
      <c r="C37" s="154"/>
      <c r="D37" s="154"/>
      <c r="E37" s="154"/>
      <c r="F37" s="154"/>
      <c r="G37" s="154"/>
    </row>
    <row r="38" spans="1:8" s="149" customFormat="1">
      <c r="A38" s="149" t="s">
        <v>320</v>
      </c>
      <c r="B38" s="154"/>
      <c r="C38" s="171">
        <v>961</v>
      </c>
      <c r="D38" s="171">
        <v>223</v>
      </c>
      <c r="E38" s="171">
        <v>192</v>
      </c>
      <c r="F38" s="171">
        <v>151</v>
      </c>
      <c r="G38" s="171">
        <v>150</v>
      </c>
      <c r="H38" s="149" t="s">
        <v>323</v>
      </c>
    </row>
    <row r="39" spans="1:8" s="149" customFormat="1">
      <c r="A39" s="149" t="s">
        <v>342</v>
      </c>
      <c r="B39" s="154"/>
      <c r="C39" s="171">
        <v>74</v>
      </c>
      <c r="D39" s="171">
        <v>54</v>
      </c>
      <c r="E39" s="171">
        <v>53</v>
      </c>
      <c r="F39" s="171">
        <v>62</v>
      </c>
      <c r="G39" s="171">
        <v>73</v>
      </c>
      <c r="H39" s="149" t="s">
        <v>323</v>
      </c>
    </row>
    <row r="40" spans="1:8" s="149" customFormat="1">
      <c r="C40" s="84"/>
      <c r="D40" s="84"/>
      <c r="E40" s="84"/>
      <c r="F40" s="84"/>
      <c r="G40" s="84"/>
    </row>
    <row r="41" spans="1:8" ht="18.75">
      <c r="A41" s="18" t="s">
        <v>193</v>
      </c>
      <c r="B41" s="12"/>
    </row>
    <row r="42" spans="1:8">
      <c r="A42" s="12"/>
      <c r="B42" s="12"/>
    </row>
    <row r="43" spans="1:8">
      <c r="A43" s="39" t="s">
        <v>289</v>
      </c>
      <c r="C43" s="120">
        <v>6.7000000000000004E-2</v>
      </c>
      <c r="D43" s="17" t="s">
        <v>17</v>
      </c>
      <c r="E43" s="17" t="s">
        <v>748</v>
      </c>
    </row>
    <row r="44" spans="1:8" ht="6" customHeight="1">
      <c r="A44" s="39"/>
      <c r="C44" s="120"/>
      <c r="D44" s="17"/>
    </row>
    <row r="45" spans="1:8">
      <c r="A45" t="s">
        <v>290</v>
      </c>
      <c r="C45" s="120">
        <v>6.9500000000000006E-2</v>
      </c>
      <c r="D45" s="17" t="s">
        <v>17</v>
      </c>
      <c r="E45" s="17" t="s">
        <v>748</v>
      </c>
    </row>
    <row r="46" spans="1:8">
      <c r="C46" s="120"/>
      <c r="D46" s="17"/>
      <c r="E46" t="s">
        <v>549</v>
      </c>
    </row>
    <row r="47" spans="1:8">
      <c r="C47" s="120"/>
      <c r="D47" s="17"/>
      <c r="E47" t="s">
        <v>309</v>
      </c>
    </row>
    <row r="48" spans="1:8" s="149" customFormat="1">
      <c r="C48" s="120"/>
      <c r="D48" s="17"/>
    </row>
    <row r="49" spans="1:5">
      <c r="A49" t="s">
        <v>291</v>
      </c>
      <c r="C49" s="120">
        <v>5.4300000000000001E-2</v>
      </c>
      <c r="D49" s="17" t="s">
        <v>17</v>
      </c>
      <c r="E49" s="17" t="s">
        <v>748</v>
      </c>
    </row>
    <row r="50" spans="1:5" ht="6" customHeight="1">
      <c r="C50" s="120"/>
      <c r="D50" s="17"/>
      <c r="E50" s="17"/>
    </row>
    <row r="51" spans="1:5">
      <c r="A51" t="s">
        <v>292</v>
      </c>
      <c r="C51" s="120">
        <v>6.2399999999999997E-2</v>
      </c>
      <c r="D51" s="17" t="s">
        <v>17</v>
      </c>
      <c r="E51" s="17" t="s">
        <v>748</v>
      </c>
    </row>
    <row r="52" spans="1:5">
      <c r="C52" s="120"/>
      <c r="D52" s="17"/>
      <c r="E52" s="149" t="s">
        <v>550</v>
      </c>
    </row>
    <row r="53" spans="1:5" ht="15" customHeight="1">
      <c r="C53" s="120"/>
      <c r="D53" s="17"/>
    </row>
    <row r="54" spans="1:5" ht="15" customHeight="1">
      <c r="A54" t="s">
        <v>293</v>
      </c>
      <c r="C54" s="120">
        <v>2.2499999999999999E-2</v>
      </c>
      <c r="D54" s="17" t="s">
        <v>17</v>
      </c>
      <c r="E54" s="17" t="s">
        <v>748</v>
      </c>
    </row>
    <row r="55" spans="1:5">
      <c r="A55" t="s">
        <v>294</v>
      </c>
      <c r="C55" s="120">
        <v>2.2499999999999999E-2</v>
      </c>
      <c r="D55" s="17" t="s">
        <v>17</v>
      </c>
    </row>
    <row r="57" spans="1:5">
      <c r="A57" t="s">
        <v>295</v>
      </c>
      <c r="C57" s="120">
        <v>1.3599999999999999E-2</v>
      </c>
      <c r="D57" s="17" t="s">
        <v>17</v>
      </c>
    </row>
    <row r="58" spans="1:5">
      <c r="A58" t="s">
        <v>296</v>
      </c>
      <c r="C58" s="120">
        <v>2.8899999999999999E-2</v>
      </c>
      <c r="D58" s="17" t="s">
        <v>17</v>
      </c>
      <c r="E58" s="17" t="s">
        <v>414</v>
      </c>
    </row>
    <row r="60" spans="1:5" ht="18.75">
      <c r="A60" s="18" t="s">
        <v>196</v>
      </c>
    </row>
    <row r="62" spans="1:5">
      <c r="A62" t="s">
        <v>198</v>
      </c>
    </row>
    <row r="63" spans="1:5">
      <c r="A63" t="s">
        <v>197</v>
      </c>
      <c r="C63" s="121">
        <v>27</v>
      </c>
      <c r="D63" t="s">
        <v>71</v>
      </c>
      <c r="E63" t="s">
        <v>205</v>
      </c>
    </row>
    <row r="64" spans="1:5" s="149" customFormat="1">
      <c r="A64" s="149" t="s">
        <v>558</v>
      </c>
      <c r="C64" s="138">
        <v>654000</v>
      </c>
    </row>
    <row r="65" spans="1:8">
      <c r="A65" t="s">
        <v>199</v>
      </c>
      <c r="C65" s="122">
        <v>8.8000000000000005E-3</v>
      </c>
      <c r="D65" s="17" t="s">
        <v>200</v>
      </c>
    </row>
    <row r="66" spans="1:8">
      <c r="C66" s="122"/>
      <c r="D66" s="17"/>
    </row>
    <row r="67" spans="1:8">
      <c r="A67" s="36" t="s">
        <v>286</v>
      </c>
      <c r="B67" s="46"/>
      <c r="C67" s="11" t="s">
        <v>108</v>
      </c>
      <c r="D67" s="11" t="s">
        <v>109</v>
      </c>
      <c r="E67" s="11" t="s">
        <v>110</v>
      </c>
      <c r="F67" s="11" t="s">
        <v>111</v>
      </c>
      <c r="G67" s="11" t="s">
        <v>285</v>
      </c>
    </row>
    <row r="68" spans="1:8">
      <c r="A68" t="s">
        <v>287</v>
      </c>
      <c r="B68" s="142"/>
      <c r="C68" s="172">
        <v>0</v>
      </c>
      <c r="D68" s="172">
        <v>0</v>
      </c>
      <c r="E68" s="172">
        <v>0</v>
      </c>
      <c r="F68" s="172">
        <v>0</v>
      </c>
      <c r="G68" s="172">
        <v>0</v>
      </c>
    </row>
    <row r="69" spans="1:8" s="149" customFormat="1">
      <c r="B69" s="142"/>
      <c r="C69" s="118"/>
      <c r="D69" s="118"/>
      <c r="E69" s="118"/>
      <c r="F69" s="118"/>
      <c r="G69" s="118"/>
      <c r="H69"/>
    </row>
    <row r="70" spans="1:8">
      <c r="B70" s="36" t="s">
        <v>319</v>
      </c>
      <c r="C70" s="172">
        <v>818.36931528862704</v>
      </c>
      <c r="D70" s="172">
        <v>860.87588023968033</v>
      </c>
      <c r="E70" s="172">
        <v>861.93048555618134</v>
      </c>
      <c r="F70" s="172">
        <v>951.74764835085148</v>
      </c>
      <c r="G70" s="172">
        <v>1124.2038802627253</v>
      </c>
      <c r="H70" t="s">
        <v>322</v>
      </c>
    </row>
    <row r="71" spans="1:8" s="149" customFormat="1">
      <c r="B71" s="36"/>
      <c r="C71" s="118"/>
      <c r="D71" s="118"/>
      <c r="E71" s="118"/>
      <c r="F71" s="118"/>
      <c r="G71" s="118"/>
      <c r="H71" s="118"/>
    </row>
    <row r="72" spans="1:8">
      <c r="B72" s="139"/>
    </row>
    <row r="73" spans="1:8" ht="18.75">
      <c r="A73" s="18" t="s">
        <v>207</v>
      </c>
    </row>
    <row r="74" spans="1:8" ht="8.25" customHeight="1"/>
    <row r="75" spans="1:8" ht="14.1" customHeight="1">
      <c r="B75" s="11" t="s">
        <v>107</v>
      </c>
      <c r="C75" s="11" t="s">
        <v>108</v>
      </c>
      <c r="D75" s="11" t="s">
        <v>109</v>
      </c>
      <c r="E75" s="11" t="s">
        <v>110</v>
      </c>
      <c r="F75" s="11" t="s">
        <v>111</v>
      </c>
      <c r="G75" s="11" t="s">
        <v>285</v>
      </c>
    </row>
    <row r="76" spans="1:8">
      <c r="A76" t="s">
        <v>345</v>
      </c>
      <c r="B76" s="130">
        <v>350</v>
      </c>
      <c r="C76" s="130">
        <v>100</v>
      </c>
      <c r="D76" s="130">
        <v>100</v>
      </c>
      <c r="E76" s="130">
        <v>100</v>
      </c>
      <c r="F76" s="130">
        <v>100</v>
      </c>
      <c r="G76" s="130">
        <v>100</v>
      </c>
    </row>
    <row r="78" spans="1:8" ht="30">
      <c r="A78" s="140" t="s">
        <v>299</v>
      </c>
      <c r="B78" s="141" t="b">
        <v>0</v>
      </c>
      <c r="C78" s="141" t="b">
        <v>1</v>
      </c>
      <c r="D78" s="141" t="b">
        <v>1</v>
      </c>
      <c r="E78" s="141" t="b">
        <v>1</v>
      </c>
      <c r="F78" s="141" t="b">
        <v>1</v>
      </c>
      <c r="G78" s="141" t="b">
        <v>1</v>
      </c>
    </row>
    <row r="80" spans="1:8">
      <c r="E80" s="172"/>
    </row>
  </sheetData>
  <pageMargins left="0.7" right="0.7" top="0.75" bottom="0.75" header="0.3" footer="0.3"/>
  <pageSetup scale="92" fitToHeight="0" orientation="portrait" horizontalDpi="4294967293" verticalDpi="4294967293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2139"/>
  <sheetViews>
    <sheetView workbookViewId="0">
      <selection activeCell="A14" sqref="A14"/>
    </sheetView>
  </sheetViews>
  <sheetFormatPr defaultRowHeight="15"/>
  <cols>
    <col min="1" max="1" width="10.85546875" customWidth="1"/>
    <col min="2" max="2" width="9.42578125" bestFit="1" customWidth="1"/>
    <col min="3" max="3" width="9.7109375" bestFit="1" customWidth="1"/>
    <col min="4" max="4" width="9.7109375" customWidth="1"/>
    <col min="5" max="5" width="9.42578125" bestFit="1" customWidth="1"/>
    <col min="6" max="6" width="10.5703125" bestFit="1" customWidth="1"/>
    <col min="7" max="8" width="9.5703125" bestFit="1" customWidth="1"/>
    <col min="9" max="9" width="10.5703125" customWidth="1"/>
    <col min="12" max="12" width="9.85546875" customWidth="1"/>
    <col min="13" max="13" width="9.5703125" customWidth="1"/>
    <col min="16" max="16" width="10.5703125" bestFit="1" customWidth="1"/>
    <col min="19" max="20" width="11.28515625" customWidth="1"/>
  </cols>
  <sheetData>
    <row r="1" spans="1:20" ht="18.75">
      <c r="A1" s="18" t="s">
        <v>560</v>
      </c>
    </row>
    <row r="3" spans="1:20" ht="15.75">
      <c r="A3" s="21" t="s">
        <v>120</v>
      </c>
    </row>
    <row r="4" spans="1:20">
      <c r="A4" s="63">
        <v>42916</v>
      </c>
      <c r="B4" s="63">
        <v>43281</v>
      </c>
      <c r="C4" s="63">
        <v>43646</v>
      </c>
      <c r="D4" s="63">
        <v>44012</v>
      </c>
      <c r="E4" s="63">
        <v>44377</v>
      </c>
      <c r="F4" s="63">
        <v>44742</v>
      </c>
    </row>
    <row r="6" spans="1:20" ht="15.75">
      <c r="A6" s="21" t="s">
        <v>167</v>
      </c>
    </row>
    <row r="7" spans="1:20">
      <c r="A7" t="s">
        <v>168</v>
      </c>
    </row>
    <row r="9" spans="1:20">
      <c r="C9" s="36" t="s">
        <v>165</v>
      </c>
      <c r="F9" s="63">
        <f>INDEX($A14:$A75,MATCH(0,F14:F75,0))</f>
        <v>43692</v>
      </c>
      <c r="I9" s="63" t="e">
        <f>INDEX($A14:$A75,MATCH(0,I14:I75,0))</f>
        <v>#N/A</v>
      </c>
      <c r="L9" s="63">
        <f>INDEX($A14:$A75,MATCH(0,L14:L75,0))</f>
        <v>43692</v>
      </c>
      <c r="O9" s="63" t="e">
        <f>INDEX($A14:$A75,MATCH(0,O14:O75,0))</f>
        <v>#N/A</v>
      </c>
      <c r="R9" s="63" t="e">
        <f>INDEX($A14:$A75,MATCH(0,R14:R75,0))</f>
        <v>#N/A</v>
      </c>
    </row>
    <row r="10" spans="1:20">
      <c r="C10" s="36" t="s">
        <v>166</v>
      </c>
      <c r="F10" s="103">
        <f>YEARFRAC(F9,DATE(YEAR(F9), 1,1))+YEAR(F9)</f>
        <v>2019.6222222222223</v>
      </c>
      <c r="I10" s="103" t="e">
        <f>YEARFRAC(I9,DATE(YEAR(I9), 1,1))+YEAR(I9)</f>
        <v>#N/A</v>
      </c>
      <c r="L10" s="103">
        <f>YEARFRAC(L9,DATE(YEAR(L9), 1,1))+YEAR(L9)</f>
        <v>2019.6222222222223</v>
      </c>
      <c r="O10" s="103" t="e">
        <f>YEARFRAC(O9,DATE(YEAR(O9), 1,1))+YEAR(O9)</f>
        <v>#N/A</v>
      </c>
      <c r="P10" s="63"/>
      <c r="R10" s="103" t="e">
        <f>YEARFRAC(R9,DATE(YEAR(R9), 1,1))+YEAR(R9)</f>
        <v>#N/A</v>
      </c>
    </row>
    <row r="11" spans="1:20" ht="7.5" customHeight="1">
      <c r="C11" s="36"/>
      <c r="F11" s="103"/>
      <c r="I11" s="103"/>
      <c r="L11" s="103"/>
      <c r="P11" s="63"/>
    </row>
    <row r="12" spans="1:20">
      <c r="C12" s="47"/>
      <c r="D12" s="384" t="s">
        <v>41</v>
      </c>
      <c r="E12" s="384"/>
      <c r="F12" s="385"/>
      <c r="G12" s="383" t="s">
        <v>116</v>
      </c>
      <c r="H12" s="383"/>
      <c r="I12" s="383"/>
      <c r="J12" s="383" t="s">
        <v>122</v>
      </c>
      <c r="K12" s="383"/>
      <c r="L12" s="383"/>
      <c r="M12" s="384" t="s">
        <v>159</v>
      </c>
      <c r="N12" s="384"/>
      <c r="O12" s="385"/>
      <c r="P12" s="383" t="s">
        <v>160</v>
      </c>
      <c r="Q12" s="383"/>
      <c r="R12" s="383"/>
      <c r="S12" s="381" t="s">
        <v>315</v>
      </c>
      <c r="T12" s="382"/>
    </row>
    <row r="13" spans="1:20" ht="60">
      <c r="A13" s="14" t="s">
        <v>113</v>
      </c>
      <c r="B13" s="14" t="s">
        <v>114</v>
      </c>
      <c r="C13" s="67" t="s">
        <v>115</v>
      </c>
      <c r="D13" s="64" t="s">
        <v>123</v>
      </c>
      <c r="E13" s="64" t="s">
        <v>163</v>
      </c>
      <c r="F13" s="65" t="s">
        <v>117</v>
      </c>
      <c r="G13" s="64" t="s">
        <v>123</v>
      </c>
      <c r="H13" s="64" t="s">
        <v>163</v>
      </c>
      <c r="I13" s="65" t="s">
        <v>117</v>
      </c>
      <c r="J13" s="64" t="s">
        <v>123</v>
      </c>
      <c r="K13" s="64" t="s">
        <v>163</v>
      </c>
      <c r="L13" s="64" t="s">
        <v>117</v>
      </c>
      <c r="M13" s="111" t="s">
        <v>161</v>
      </c>
      <c r="N13" s="14" t="s">
        <v>164</v>
      </c>
      <c r="O13" s="67" t="s">
        <v>162</v>
      </c>
      <c r="P13" s="111" t="s">
        <v>161</v>
      </c>
      <c r="Q13" s="14" t="s">
        <v>164</v>
      </c>
      <c r="R13" s="14" t="s">
        <v>162</v>
      </c>
      <c r="S13" s="165" t="s">
        <v>316</v>
      </c>
      <c r="T13" s="65" t="s">
        <v>162</v>
      </c>
    </row>
    <row r="14" spans="1:20">
      <c r="A14" s="63">
        <v>42916</v>
      </c>
      <c r="B14">
        <f>IF(MONTH(A14)&gt;6, YEAR(A14)+1, YEAR(A14))</f>
        <v>2017</v>
      </c>
      <c r="C14" s="68">
        <f>(A14-DATE(B14-1,6,30))/(DATE(B14,6,30)-DATE(B14-1, 6, 30))</f>
        <v>1</v>
      </c>
      <c r="D14" s="34">
        <f>INDEX('HB61'!$B$85:$G$85,1,B14-2016)</f>
        <v>8647.8000000000011</v>
      </c>
      <c r="E14" s="34">
        <f>INDEX('HB61'!$B$16:$G$16,1,B14-2016)+INDEX('HB61'!$B$86:$G$86,1,B14-2016)+INDEX('HB61'!$B$87:$G$87,1,B14-2016)</f>
        <v>-2476.0074000000004</v>
      </c>
      <c r="F14" s="66">
        <f>MAX(0,D14+E14*C14)</f>
        <v>6171.7926000000007</v>
      </c>
      <c r="G14" s="34">
        <f>INDEX('HB61'!$B$78:$G$78,1,$B14-2016)</f>
        <v>8647.8000000000011</v>
      </c>
      <c r="H14" s="34">
        <f>INDEX('HB61'!$B$76:$G$76,1,$B14-2016)+INDEX('HB61'!$B$79:$G$79,1,$B14-2016)+INDEX('HB61'!$B$80:$G$80,1,$B14-2016)</f>
        <v>-2476.0074000000004</v>
      </c>
      <c r="I14" s="66">
        <f>MAX(0,G14+H14*$C14)</f>
        <v>6171.7926000000007</v>
      </c>
      <c r="J14" s="34">
        <f>INDEX('HB61'!$B$93:$G$93,1,$B14-2016)</f>
        <v>8647.8000000000011</v>
      </c>
      <c r="K14" s="34">
        <f>INDEX('HB61'!$B$92:$G$92,1,$B14-2016)+INDEX('HB61'!$B$94:$G$94,1,$B14-2016)+INDEX('HB61'!$B$95:$G$95,1,$B14-2016)</f>
        <v>-2476.0074000000004</v>
      </c>
      <c r="L14" s="66">
        <f>MAX(0,J14+K14*$C14)</f>
        <v>6171.7926000000007</v>
      </c>
      <c r="M14" s="13">
        <f>INDEX('PF Model'!$F$45:$K$45,1,$B14-2016)</f>
        <v>9266</v>
      </c>
      <c r="N14" s="13">
        <f>INDEX('PF Model'!$G$44:$L$44,1,$B14-2016)</f>
        <v>2404.4690515033049</v>
      </c>
      <c r="O14" s="66">
        <f>MAX(0,M14+N14*$C14)</f>
        <v>11670.469051503305</v>
      </c>
      <c r="P14" s="13">
        <f>INDEX('PF Model'!$F$81:$K$81,1,$B14-2016)</f>
        <v>9266</v>
      </c>
      <c r="Q14" s="13">
        <f>INDEX('PF Model'!$G$80:$L$80,1,$B14-2016)</f>
        <v>2404.4690515033049</v>
      </c>
      <c r="R14" s="66">
        <f>MAX(0,P14+Q14*$C14)</f>
        <v>11670.469051503305</v>
      </c>
      <c r="S14" s="13">
        <v>6414.6512000000002</v>
      </c>
      <c r="T14" s="167">
        <v>10631.5701407</v>
      </c>
    </row>
    <row r="15" spans="1:20">
      <c r="A15" s="63">
        <v>42931</v>
      </c>
      <c r="B15">
        <f t="shared" ref="B15:B75" si="0">IF(MONTH(A15)&gt;6, YEAR(A15)+1, YEAR(A15))</f>
        <v>2018</v>
      </c>
      <c r="C15" s="68">
        <f t="shared" ref="C15:C73" si="1">(A15-DATE(B15-1,6,30))/(DATE(B15,6,30)-DATE(B15-1, 6, 30))</f>
        <v>4.1095890410958902E-2</v>
      </c>
      <c r="D15" s="34">
        <f>INDEX('HB61'!$B$85:$G$85,1,B15-2016)</f>
        <v>6171.7926000000007</v>
      </c>
      <c r="E15" s="34">
        <f>INDEX('HB61'!$B$16:$G$16,1,B15-2016)+INDEX('HB61'!$B$86:$G$86,1,B15-2016)+INDEX('HB61'!$B$87:$G$87,1,B15-2016)</f>
        <v>-3392.0934138600005</v>
      </c>
      <c r="F15" s="66">
        <f t="shared" ref="F15:F73" si="2">MAX(0,D15+E15*C15)</f>
        <v>6032.391500800275</v>
      </c>
      <c r="G15" s="34">
        <f>INDEX('HB61'!$B$78:$G$78,1,$B15-2016)</f>
        <v>6171.7926000000007</v>
      </c>
      <c r="H15" s="34">
        <f>INDEX('HB61'!$B$76:$G$76,1,$B15-2016)+INDEX('HB61'!$B$79:$G$79,1,$B15-2016)+INDEX('HB61'!$B$80:$G$80,1,$B15-2016)</f>
        <v>-1472.5369165839147</v>
      </c>
      <c r="I15" s="66">
        <f t="shared" ref="I15:I75" si="3">MAX(0,G15+H15*$C15)</f>
        <v>6111.2773842499764</v>
      </c>
      <c r="J15" s="34">
        <f>INDEX('HB61'!$B$93:$G$93,1,$B15-2016)</f>
        <v>6171.7926000000007</v>
      </c>
      <c r="K15" s="34">
        <f>INDEX('HB61'!$B$92:$G$92,1,$B15-2016)+INDEX('HB61'!$B$94:$G$94,1,$B15-2016)+INDEX('HB61'!$B$95:$G$95,1,$B15-2016)</f>
        <v>-3392.0934138600005</v>
      </c>
      <c r="L15" s="66">
        <f t="shared" ref="L15:L75" si="4">MAX(0,J15+K15*$C15)</f>
        <v>6032.391500800275</v>
      </c>
      <c r="M15" s="13">
        <f>INDEX('PF Model'!$F$45:$K$45,1,$B15-2016)</f>
        <v>11670.469051503305</v>
      </c>
      <c r="N15" s="13">
        <f>INDEX('PF Model'!$G$44:$L$44,1,$B15-2016)</f>
        <v>1135.2065290760142</v>
      </c>
      <c r="O15" s="66">
        <f t="shared" ref="O15:O75" si="5">MAX(0,M15+N15*$C15)</f>
        <v>11717.121374616017</v>
      </c>
      <c r="P15" s="13">
        <f>INDEX('PF Model'!$F$81:$K$81,1,$B15-2016)</f>
        <v>11670.469051503305</v>
      </c>
      <c r="Q15" s="13">
        <f>INDEX('PF Model'!$G$80:$L$80,1,$B15-2016)</f>
        <v>-1720.7153206592611</v>
      </c>
      <c r="R15" s="66">
        <f t="shared" ref="R15:R75" si="6">MAX(0,P15+Q15*$C15)</f>
        <v>11599.754723257034</v>
      </c>
      <c r="S15" s="13">
        <v>6307.7346530410969</v>
      </c>
      <c r="T15" s="166">
        <v>10741.462665246059</v>
      </c>
    </row>
    <row r="16" spans="1:20">
      <c r="A16" s="63">
        <v>42962</v>
      </c>
      <c r="B16">
        <f t="shared" si="0"/>
        <v>2018</v>
      </c>
      <c r="C16" s="68">
        <f t="shared" si="1"/>
        <v>0.12602739726027398</v>
      </c>
      <c r="D16" s="34">
        <f>INDEX('HB61'!$B$85:$G$85,1,B16-2016)</f>
        <v>6171.7926000000007</v>
      </c>
      <c r="E16" s="34">
        <f>INDEX('HB61'!$B$16:$G$16,1,B16-2016)+INDEX('HB61'!$B$86:$G$86,1,B16-2016)+INDEX('HB61'!$B$87:$G$87,1,B16-2016)</f>
        <v>-3392.0934138600005</v>
      </c>
      <c r="F16" s="66">
        <f t="shared" si="2"/>
        <v>5744.2958957875071</v>
      </c>
      <c r="G16" s="34">
        <f>INDEX('HB61'!$B$78:$G$78,1,$B16-2016)</f>
        <v>6171.7926000000007</v>
      </c>
      <c r="H16" s="34">
        <f>INDEX('HB61'!$B$76:$G$76,1,$B16-2016)+INDEX('HB61'!$B$79:$G$79,1,$B16-2016)+INDEX('HB61'!$B$80:$G$80,1,$B16-2016)</f>
        <v>-1472.5369165839147</v>
      </c>
      <c r="I16" s="66">
        <f t="shared" si="3"/>
        <v>5986.2126050332608</v>
      </c>
      <c r="J16" s="34">
        <f>INDEX('HB61'!$B$93:$G$93,1,$B16-2016)</f>
        <v>6171.7926000000007</v>
      </c>
      <c r="K16" s="34">
        <f>INDEX('HB61'!$B$92:$G$92,1,$B16-2016)+INDEX('HB61'!$B$94:$G$94,1,$B16-2016)+INDEX('HB61'!$B$95:$G$95,1,$B16-2016)</f>
        <v>-3392.0934138600005</v>
      </c>
      <c r="L16" s="66">
        <f t="shared" si="4"/>
        <v>5744.2958957875071</v>
      </c>
      <c r="M16" s="13">
        <f>INDEX('PF Model'!$F$45:$K$45,1,$B16-2016)</f>
        <v>11670.469051503305</v>
      </c>
      <c r="N16" s="13">
        <f>INDEX('PF Model'!$G$44:$L$44,1,$B16-2016)</f>
        <v>1135.2065290760142</v>
      </c>
      <c r="O16" s="66">
        <f t="shared" si="5"/>
        <v>11813.536175715624</v>
      </c>
      <c r="P16" s="13">
        <f>INDEX('PF Model'!$F$81:$K$81,1,$B16-2016)</f>
        <v>11670.469051503305</v>
      </c>
      <c r="Q16" s="13">
        <f>INDEX('PF Model'!$G$80:$L$80,1,$B16-2016)</f>
        <v>-1720.7153206592611</v>
      </c>
      <c r="R16" s="66">
        <f t="shared" si="6"/>
        <v>11453.611778214741</v>
      </c>
      <c r="S16" s="13">
        <v>6086.7737893260282</v>
      </c>
      <c r="T16" s="166">
        <v>10968.573882641251</v>
      </c>
    </row>
    <row r="17" spans="1:20">
      <c r="A17" s="63">
        <v>42993</v>
      </c>
      <c r="B17">
        <f t="shared" si="0"/>
        <v>2018</v>
      </c>
      <c r="C17" s="68">
        <f t="shared" si="1"/>
        <v>0.21095890410958903</v>
      </c>
      <c r="D17" s="34">
        <f>INDEX('HB61'!$B$85:$G$85,1,B17-2016)</f>
        <v>6171.7926000000007</v>
      </c>
      <c r="E17" s="34">
        <f>INDEX('HB61'!$B$16:$G$16,1,B17-2016)+INDEX('HB61'!$B$86:$G$86,1,B17-2016)+INDEX('HB61'!$B$87:$G$87,1,B17-2016)</f>
        <v>-3392.0934138600005</v>
      </c>
      <c r="F17" s="66">
        <f t="shared" si="2"/>
        <v>5456.2002907747401</v>
      </c>
      <c r="G17" s="34">
        <f>INDEX('HB61'!$B$78:$G$78,1,$B17-2016)</f>
        <v>6171.7926000000007</v>
      </c>
      <c r="H17" s="34">
        <f>INDEX('HB61'!$B$76:$G$76,1,$B17-2016)+INDEX('HB61'!$B$79:$G$79,1,$B17-2016)+INDEX('HB61'!$B$80:$G$80,1,$B17-2016)</f>
        <v>-1472.5369165839147</v>
      </c>
      <c r="I17" s="66">
        <f t="shared" si="3"/>
        <v>5861.1478258165444</v>
      </c>
      <c r="J17" s="34">
        <f>INDEX('HB61'!$B$93:$G$93,1,$B17-2016)</f>
        <v>6171.7926000000007</v>
      </c>
      <c r="K17" s="34">
        <f>INDEX('HB61'!$B$92:$G$92,1,$B17-2016)+INDEX('HB61'!$B$94:$G$94,1,$B17-2016)+INDEX('HB61'!$B$95:$G$95,1,$B17-2016)</f>
        <v>-3392.0934138600005</v>
      </c>
      <c r="L17" s="66">
        <f t="shared" si="4"/>
        <v>5456.2002907747401</v>
      </c>
      <c r="M17" s="13">
        <f>INDEX('PF Model'!$F$45:$K$45,1,$B17-2016)</f>
        <v>11670.469051503305</v>
      </c>
      <c r="N17" s="13">
        <f>INDEX('PF Model'!$G$44:$L$44,1,$B17-2016)</f>
        <v>1135.2065290760142</v>
      </c>
      <c r="O17" s="66">
        <f t="shared" si="5"/>
        <v>11909.950976815231</v>
      </c>
      <c r="P17" s="13">
        <f>INDEX('PF Model'!$F$81:$K$81,1,$B17-2016)</f>
        <v>11670.469051503305</v>
      </c>
      <c r="Q17" s="13">
        <f>INDEX('PF Model'!$G$80:$L$80,1,$B17-2016)</f>
        <v>-1720.7153206592611</v>
      </c>
      <c r="R17" s="66">
        <f t="shared" si="6"/>
        <v>11307.468833172448</v>
      </c>
      <c r="S17" s="13">
        <v>5865.8129256109605</v>
      </c>
      <c r="T17" s="166">
        <v>11195.685100036442</v>
      </c>
    </row>
    <row r="18" spans="1:20">
      <c r="A18" s="63">
        <v>43023</v>
      </c>
      <c r="B18">
        <f t="shared" si="0"/>
        <v>2018</v>
      </c>
      <c r="C18" s="68">
        <f t="shared" si="1"/>
        <v>0.29315068493150687</v>
      </c>
      <c r="D18" s="34">
        <f>INDEX('HB61'!$B$85:$G$85,1,B18-2016)</f>
        <v>6171.7926000000007</v>
      </c>
      <c r="E18" s="34">
        <f>INDEX('HB61'!$B$16:$G$16,1,B18-2016)+INDEX('HB61'!$B$86:$G$86,1,B18-2016)+INDEX('HB61'!$B$87:$G$87,1,B18-2016)</f>
        <v>-3392.0934138600005</v>
      </c>
      <c r="F18" s="66">
        <f t="shared" si="2"/>
        <v>5177.3980923752879</v>
      </c>
      <c r="G18" s="34">
        <f>INDEX('HB61'!$B$78:$G$78,1,$B18-2016)</f>
        <v>6171.7926000000007</v>
      </c>
      <c r="H18" s="34">
        <f>INDEX('HB61'!$B$76:$G$76,1,$B18-2016)+INDEX('HB61'!$B$79:$G$79,1,$B18-2016)+INDEX('HB61'!$B$80:$G$80,1,$B18-2016)</f>
        <v>-1472.5369165839147</v>
      </c>
      <c r="I18" s="66">
        <f t="shared" si="3"/>
        <v>5740.1173943164968</v>
      </c>
      <c r="J18" s="34">
        <f>INDEX('HB61'!$B$93:$G$93,1,$B18-2016)</f>
        <v>6171.7926000000007</v>
      </c>
      <c r="K18" s="34">
        <f>INDEX('HB61'!$B$92:$G$92,1,$B18-2016)+INDEX('HB61'!$B$94:$G$94,1,$B18-2016)+INDEX('HB61'!$B$95:$G$95,1,$B18-2016)</f>
        <v>-3392.0934138600005</v>
      </c>
      <c r="L18" s="66">
        <f t="shared" si="4"/>
        <v>5177.3980923752879</v>
      </c>
      <c r="M18" s="13">
        <f>INDEX('PF Model'!$F$45:$K$45,1,$B18-2016)</f>
        <v>11670.469051503305</v>
      </c>
      <c r="N18" s="13">
        <f>INDEX('PF Model'!$G$44:$L$44,1,$B18-2016)</f>
        <v>1135.2065290760142</v>
      </c>
      <c r="O18" s="66">
        <f t="shared" si="5"/>
        <v>12003.255623040657</v>
      </c>
      <c r="P18" s="13">
        <f>INDEX('PF Model'!$F$81:$K$81,1,$B18-2016)</f>
        <v>11670.469051503305</v>
      </c>
      <c r="Q18" s="13">
        <f>INDEX('PF Model'!$G$80:$L$80,1,$B18-2016)</f>
        <v>-1720.7153206592611</v>
      </c>
      <c r="R18" s="66">
        <f t="shared" si="6"/>
        <v>11166.040176679906</v>
      </c>
      <c r="S18" s="13">
        <v>5651.9798316931519</v>
      </c>
      <c r="T18" s="166">
        <v>11415.470149128563</v>
      </c>
    </row>
    <row r="19" spans="1:20">
      <c r="A19" s="63">
        <v>43054</v>
      </c>
      <c r="B19">
        <f t="shared" si="0"/>
        <v>2018</v>
      </c>
      <c r="C19" s="68">
        <f t="shared" si="1"/>
        <v>0.37808219178082192</v>
      </c>
      <c r="D19" s="34">
        <f>INDEX('HB61'!$B$85:$G$85,1,B19-2016)</f>
        <v>6171.7926000000007</v>
      </c>
      <c r="E19" s="34">
        <f>INDEX('HB61'!$B$16:$G$16,1,B19-2016)+INDEX('HB61'!$B$86:$G$86,1,B19-2016)+INDEX('HB61'!$B$87:$G$87,1,B19-2016)</f>
        <v>-3392.0934138600005</v>
      </c>
      <c r="F19" s="66">
        <f t="shared" si="2"/>
        <v>4889.3024873625209</v>
      </c>
      <c r="G19" s="34">
        <f>INDEX('HB61'!$B$78:$G$78,1,$B19-2016)</f>
        <v>6171.7926000000007</v>
      </c>
      <c r="H19" s="34">
        <f>INDEX('HB61'!$B$76:$G$76,1,$B19-2016)+INDEX('HB61'!$B$79:$G$79,1,$B19-2016)+INDEX('HB61'!$B$80:$G$80,1,$B19-2016)</f>
        <v>-1472.5369165839147</v>
      </c>
      <c r="I19" s="66">
        <f t="shared" si="3"/>
        <v>5615.0526150997812</v>
      </c>
      <c r="J19" s="34">
        <f>INDEX('HB61'!$B$93:$G$93,1,$B19-2016)</f>
        <v>6171.7926000000007</v>
      </c>
      <c r="K19" s="34">
        <f>INDEX('HB61'!$B$92:$G$92,1,$B19-2016)+INDEX('HB61'!$B$94:$G$94,1,$B19-2016)+INDEX('HB61'!$B$95:$G$95,1,$B19-2016)</f>
        <v>-3392.0934138600005</v>
      </c>
      <c r="L19" s="66">
        <f t="shared" si="4"/>
        <v>4889.3024873625209</v>
      </c>
      <c r="M19" s="13">
        <f>INDEX('PF Model'!$F$45:$K$45,1,$B19-2016)</f>
        <v>11670.469051503305</v>
      </c>
      <c r="N19" s="13">
        <f>INDEX('PF Model'!$G$44:$L$44,1,$B19-2016)</f>
        <v>1135.2065290760142</v>
      </c>
      <c r="O19" s="66">
        <f t="shared" si="5"/>
        <v>12099.670424140264</v>
      </c>
      <c r="P19" s="13">
        <f>INDEX('PF Model'!$F$81:$K$81,1,$B19-2016)</f>
        <v>11670.469051503305</v>
      </c>
      <c r="Q19" s="13">
        <f>INDEX('PF Model'!$G$80:$L$80,1,$B19-2016)</f>
        <v>-1720.7153206592611</v>
      </c>
      <c r="R19" s="66">
        <f t="shared" si="6"/>
        <v>11019.897231637613</v>
      </c>
      <c r="S19" s="13">
        <v>5431.0189679780833</v>
      </c>
      <c r="T19" s="166">
        <v>11642.581366523755</v>
      </c>
    </row>
    <row r="20" spans="1:20">
      <c r="A20" s="63">
        <v>43084</v>
      </c>
      <c r="B20">
        <f t="shared" si="0"/>
        <v>2018</v>
      </c>
      <c r="C20" s="68">
        <f t="shared" si="1"/>
        <v>0.46027397260273972</v>
      </c>
      <c r="D20" s="34">
        <f>INDEX('HB61'!$B$85:$G$85,1,B20-2016)</f>
        <v>6171.7926000000007</v>
      </c>
      <c r="E20" s="34">
        <f>INDEX('HB61'!$B$16:$G$16,1,B20-2016)+INDEX('HB61'!$B$86:$G$86,1,B20-2016)+INDEX('HB61'!$B$87:$G$87,1,B20-2016)</f>
        <v>-3392.0934138600005</v>
      </c>
      <c r="F20" s="66">
        <f t="shared" si="2"/>
        <v>4610.5002889630687</v>
      </c>
      <c r="G20" s="34">
        <f>INDEX('HB61'!$B$78:$G$78,1,$B20-2016)</f>
        <v>6171.7926000000007</v>
      </c>
      <c r="H20" s="34">
        <f>INDEX('HB61'!$B$76:$G$76,1,$B20-2016)+INDEX('HB61'!$B$79:$G$79,1,$B20-2016)+INDEX('HB61'!$B$80:$G$80,1,$B20-2016)</f>
        <v>-1472.5369165839147</v>
      </c>
      <c r="I20" s="66">
        <f t="shared" si="3"/>
        <v>5494.0221835997327</v>
      </c>
      <c r="J20" s="34">
        <f>INDEX('HB61'!$B$93:$G$93,1,$B20-2016)</f>
        <v>6171.7926000000007</v>
      </c>
      <c r="K20" s="34">
        <f>INDEX('HB61'!$B$92:$G$92,1,$B20-2016)+INDEX('HB61'!$B$94:$G$94,1,$B20-2016)+INDEX('HB61'!$B$95:$G$95,1,$B20-2016)</f>
        <v>-3392.0934138600005</v>
      </c>
      <c r="L20" s="66">
        <f t="shared" si="4"/>
        <v>4610.5002889630687</v>
      </c>
      <c r="M20" s="13">
        <f>INDEX('PF Model'!$F$45:$K$45,1,$B20-2016)</f>
        <v>11670.469051503305</v>
      </c>
      <c r="N20" s="13">
        <f>INDEX('PF Model'!$G$44:$L$44,1,$B20-2016)</f>
        <v>1135.2065290760142</v>
      </c>
      <c r="O20" s="66">
        <f t="shared" si="5"/>
        <v>12192.97507036569</v>
      </c>
      <c r="P20" s="13">
        <f>INDEX('PF Model'!$F$81:$K$81,1,$B20-2016)</f>
        <v>11670.469051503305</v>
      </c>
      <c r="Q20" s="13">
        <f>INDEX('PF Model'!$G$80:$L$80,1,$B20-2016)</f>
        <v>-1720.7153206592611</v>
      </c>
      <c r="R20" s="66">
        <f t="shared" si="6"/>
        <v>10878.468575145071</v>
      </c>
      <c r="S20" s="13">
        <v>5217.1858740602756</v>
      </c>
      <c r="T20" s="166">
        <v>11862.366415615874</v>
      </c>
    </row>
    <row r="21" spans="1:20">
      <c r="A21" s="63">
        <v>43115</v>
      </c>
      <c r="B21">
        <f t="shared" si="0"/>
        <v>2018</v>
      </c>
      <c r="C21" s="68">
        <f t="shared" si="1"/>
        <v>0.54520547945205478</v>
      </c>
      <c r="D21" s="34">
        <f>INDEX('HB61'!$B$85:$G$85,1,B21-2016)</f>
        <v>6171.7926000000007</v>
      </c>
      <c r="E21" s="34">
        <f>INDEX('HB61'!$B$16:$G$16,1,B21-2016)+INDEX('HB61'!$B$86:$G$86,1,B21-2016)+INDEX('HB61'!$B$87:$G$87,1,B21-2016)</f>
        <v>-3392.0934138600005</v>
      </c>
      <c r="F21" s="66">
        <f t="shared" si="2"/>
        <v>4322.4046839503017</v>
      </c>
      <c r="G21" s="34">
        <f>INDEX('HB61'!$B$78:$G$78,1,$B21-2016)</f>
        <v>6171.7926000000007</v>
      </c>
      <c r="H21" s="34">
        <f>INDEX('HB61'!$B$76:$G$76,1,$B21-2016)+INDEX('HB61'!$B$79:$G$79,1,$B21-2016)+INDEX('HB61'!$B$80:$G$80,1,$B21-2016)</f>
        <v>-1472.5369165839147</v>
      </c>
      <c r="I21" s="66">
        <f t="shared" si="3"/>
        <v>5368.9574043830171</v>
      </c>
      <c r="J21" s="34">
        <f>INDEX('HB61'!$B$93:$G$93,1,$B21-2016)</f>
        <v>6171.7926000000007</v>
      </c>
      <c r="K21" s="34">
        <f>INDEX('HB61'!$B$92:$G$92,1,$B21-2016)+INDEX('HB61'!$B$94:$G$94,1,$B21-2016)+INDEX('HB61'!$B$95:$G$95,1,$B21-2016)</f>
        <v>-3392.0934138600005</v>
      </c>
      <c r="L21" s="66">
        <f t="shared" si="4"/>
        <v>4322.4046839503017</v>
      </c>
      <c r="M21" s="13">
        <f>INDEX('PF Model'!$F$45:$K$45,1,$B21-2016)</f>
        <v>11670.469051503305</v>
      </c>
      <c r="N21" s="13">
        <f>INDEX('PF Model'!$G$44:$L$44,1,$B21-2016)</f>
        <v>1135.2065290760142</v>
      </c>
      <c r="O21" s="66">
        <f t="shared" si="5"/>
        <v>12289.389871465297</v>
      </c>
      <c r="P21" s="13">
        <f>INDEX('PF Model'!$F$81:$K$81,1,$B21-2016)</f>
        <v>11670.469051503305</v>
      </c>
      <c r="Q21" s="13">
        <f>INDEX('PF Model'!$G$80:$L$80,1,$B21-2016)</f>
        <v>-1720.7153206592611</v>
      </c>
      <c r="R21" s="66">
        <f t="shared" si="6"/>
        <v>10732.325630102776</v>
      </c>
      <c r="S21" s="13">
        <v>4996.225010345207</v>
      </c>
      <c r="T21" s="166">
        <v>12089.477633011065</v>
      </c>
    </row>
    <row r="22" spans="1:20">
      <c r="A22" s="63">
        <v>43146</v>
      </c>
      <c r="B22">
        <f t="shared" si="0"/>
        <v>2018</v>
      </c>
      <c r="C22" s="68">
        <f t="shared" si="1"/>
        <v>0.63013698630136983</v>
      </c>
      <c r="D22" s="34">
        <f>INDEX('HB61'!$B$85:$G$85,1,B22-2016)</f>
        <v>6171.7926000000007</v>
      </c>
      <c r="E22" s="34">
        <f>INDEX('HB61'!$B$16:$G$16,1,B22-2016)+INDEX('HB61'!$B$86:$G$86,1,B22-2016)+INDEX('HB61'!$B$87:$G$87,1,B22-2016)</f>
        <v>-3392.0934138600005</v>
      </c>
      <c r="F22" s="66">
        <f t="shared" si="2"/>
        <v>4034.3090789375347</v>
      </c>
      <c r="G22" s="34">
        <f>INDEX('HB61'!$B$78:$G$78,1,$B22-2016)</f>
        <v>6171.7926000000007</v>
      </c>
      <c r="H22" s="34">
        <f>INDEX('HB61'!$B$76:$G$76,1,$B22-2016)+INDEX('HB61'!$B$79:$G$79,1,$B22-2016)+INDEX('HB61'!$B$80:$G$80,1,$B22-2016)</f>
        <v>-1472.5369165839147</v>
      </c>
      <c r="I22" s="66">
        <f t="shared" si="3"/>
        <v>5243.8926251663015</v>
      </c>
      <c r="J22" s="34">
        <f>INDEX('HB61'!$B$93:$G$93,1,$B22-2016)</f>
        <v>6171.7926000000007</v>
      </c>
      <c r="K22" s="34">
        <f>INDEX('HB61'!$B$92:$G$92,1,$B22-2016)+INDEX('HB61'!$B$94:$G$94,1,$B22-2016)+INDEX('HB61'!$B$95:$G$95,1,$B22-2016)</f>
        <v>-3392.0934138600005</v>
      </c>
      <c r="L22" s="66">
        <f t="shared" si="4"/>
        <v>4034.3090789375347</v>
      </c>
      <c r="M22" s="13">
        <f>INDEX('PF Model'!$F$45:$K$45,1,$B22-2016)</f>
        <v>11670.469051503305</v>
      </c>
      <c r="N22" s="13">
        <f>INDEX('PF Model'!$G$44:$L$44,1,$B22-2016)</f>
        <v>1135.2065290760142</v>
      </c>
      <c r="O22" s="66">
        <f t="shared" si="5"/>
        <v>12385.804672564904</v>
      </c>
      <c r="P22" s="13">
        <f>INDEX('PF Model'!$F$81:$K$81,1,$B22-2016)</f>
        <v>11670.469051503305</v>
      </c>
      <c r="Q22" s="13">
        <f>INDEX('PF Model'!$G$80:$L$80,1,$B22-2016)</f>
        <v>-1720.7153206592611</v>
      </c>
      <c r="R22" s="66">
        <f t="shared" si="6"/>
        <v>10586.182685060483</v>
      </c>
      <c r="S22" s="13">
        <v>4775.2641466301384</v>
      </c>
      <c r="T22" s="166">
        <v>12316.588850406257</v>
      </c>
    </row>
    <row r="23" spans="1:20">
      <c r="A23" s="63">
        <v>43174</v>
      </c>
      <c r="B23">
        <f t="shared" si="0"/>
        <v>2018</v>
      </c>
      <c r="C23" s="68">
        <f t="shared" si="1"/>
        <v>0.70684931506849313</v>
      </c>
      <c r="D23" s="34">
        <f>INDEX('HB61'!$B$85:$G$85,1,B23-2016)</f>
        <v>6171.7926000000007</v>
      </c>
      <c r="E23" s="34">
        <f>INDEX('HB61'!$B$16:$G$16,1,B23-2016)+INDEX('HB61'!$B$86:$G$86,1,B23-2016)+INDEX('HB61'!$B$87:$G$87,1,B23-2016)</f>
        <v>-3392.0934138600005</v>
      </c>
      <c r="F23" s="66">
        <f t="shared" si="2"/>
        <v>3774.0936937647125</v>
      </c>
      <c r="G23" s="34">
        <f>INDEX('HB61'!$B$78:$G$78,1,$B23-2016)</f>
        <v>6171.7926000000007</v>
      </c>
      <c r="H23" s="34">
        <f>INDEX('HB61'!$B$76:$G$76,1,$B23-2016)+INDEX('HB61'!$B$79:$G$79,1,$B23-2016)+INDEX('HB61'!$B$80:$G$80,1,$B23-2016)</f>
        <v>-1472.5369165839147</v>
      </c>
      <c r="I23" s="66">
        <f t="shared" si="3"/>
        <v>5130.9308890995899</v>
      </c>
      <c r="J23" s="34">
        <f>INDEX('HB61'!$B$93:$G$93,1,$B23-2016)</f>
        <v>6171.7926000000007</v>
      </c>
      <c r="K23" s="34">
        <f>INDEX('HB61'!$B$92:$G$92,1,$B23-2016)+INDEX('HB61'!$B$94:$G$94,1,$B23-2016)+INDEX('HB61'!$B$95:$G$95,1,$B23-2016)</f>
        <v>-3392.0934138600005</v>
      </c>
      <c r="L23" s="66">
        <f t="shared" si="4"/>
        <v>3774.0936937647125</v>
      </c>
      <c r="M23" s="13">
        <f>INDEX('PF Model'!$F$45:$K$45,1,$B23-2016)</f>
        <v>11670.469051503305</v>
      </c>
      <c r="N23" s="13">
        <f>INDEX('PF Model'!$G$44:$L$44,1,$B23-2016)</f>
        <v>1135.2065290760142</v>
      </c>
      <c r="O23" s="66">
        <f t="shared" si="5"/>
        <v>12472.889009041968</v>
      </c>
      <c r="P23" s="13">
        <f>INDEX('PF Model'!$F$81:$K$81,1,$B23-2016)</f>
        <v>11670.469051503305</v>
      </c>
      <c r="Q23" s="13">
        <f>INDEX('PF Model'!$G$80:$L$80,1,$B23-2016)</f>
        <v>-1720.7153206592611</v>
      </c>
      <c r="R23" s="66">
        <f t="shared" si="6"/>
        <v>10454.182605667444</v>
      </c>
      <c r="S23" s="13">
        <v>4575.6865923068508</v>
      </c>
      <c r="T23" s="166">
        <v>12521.721562892237</v>
      </c>
    </row>
    <row r="24" spans="1:20">
      <c r="A24" s="63">
        <v>43205</v>
      </c>
      <c r="B24">
        <f t="shared" si="0"/>
        <v>2018</v>
      </c>
      <c r="C24" s="68">
        <f t="shared" si="1"/>
        <v>0.79178082191780819</v>
      </c>
      <c r="D24" s="34">
        <f>INDEX('HB61'!$B$85:$G$85,1,B24-2016)</f>
        <v>6171.7926000000007</v>
      </c>
      <c r="E24" s="34">
        <f>INDEX('HB61'!$B$16:$G$16,1,B24-2016)+INDEX('HB61'!$B$86:$G$86,1,B24-2016)+INDEX('HB61'!$B$87:$G$87,1,B24-2016)</f>
        <v>-3392.0934138600005</v>
      </c>
      <c r="F24" s="66">
        <f t="shared" si="2"/>
        <v>3485.9980887519455</v>
      </c>
      <c r="G24" s="34">
        <f>INDEX('HB61'!$B$78:$G$78,1,$B24-2016)</f>
        <v>6171.7926000000007</v>
      </c>
      <c r="H24" s="34">
        <f>INDEX('HB61'!$B$76:$G$76,1,$B24-2016)+INDEX('HB61'!$B$79:$G$79,1,$B24-2016)+INDEX('HB61'!$B$80:$G$80,1,$B24-2016)</f>
        <v>-1472.5369165839147</v>
      </c>
      <c r="I24" s="66">
        <f t="shared" si="3"/>
        <v>5005.8661098828734</v>
      </c>
      <c r="J24" s="34">
        <f>INDEX('HB61'!$B$93:$G$93,1,$B24-2016)</f>
        <v>6171.7926000000007</v>
      </c>
      <c r="K24" s="34">
        <f>INDEX('HB61'!$B$92:$G$92,1,$B24-2016)+INDEX('HB61'!$B$94:$G$94,1,$B24-2016)+INDEX('HB61'!$B$95:$G$95,1,$B24-2016)</f>
        <v>-3392.0934138600005</v>
      </c>
      <c r="L24" s="66">
        <f t="shared" si="4"/>
        <v>3485.9980887519455</v>
      </c>
      <c r="M24" s="13">
        <f>INDEX('PF Model'!$F$45:$K$45,1,$B24-2016)</f>
        <v>11670.469051503305</v>
      </c>
      <c r="N24" s="13">
        <f>INDEX('PF Model'!$G$44:$L$44,1,$B24-2016)</f>
        <v>1135.2065290760142</v>
      </c>
      <c r="O24" s="66">
        <f t="shared" si="5"/>
        <v>12569.303810141573</v>
      </c>
      <c r="P24" s="13">
        <f>INDEX('PF Model'!$F$81:$K$81,1,$B24-2016)</f>
        <v>11670.469051503305</v>
      </c>
      <c r="Q24" s="13">
        <f>INDEX('PF Model'!$G$80:$L$80,1,$B24-2016)</f>
        <v>-1720.7153206592611</v>
      </c>
      <c r="R24" s="66">
        <f t="shared" si="6"/>
        <v>10308.039660625151</v>
      </c>
      <c r="S24" s="13">
        <v>4354.7257285917822</v>
      </c>
      <c r="T24" s="166">
        <v>12748.832780287426</v>
      </c>
    </row>
    <row r="25" spans="1:20">
      <c r="A25" s="63">
        <v>43235</v>
      </c>
      <c r="B25">
        <f t="shared" si="0"/>
        <v>2018</v>
      </c>
      <c r="C25" s="68">
        <f t="shared" si="1"/>
        <v>0.87397260273972599</v>
      </c>
      <c r="D25" s="34">
        <f>INDEX('HB61'!$B$85:$G$85,1,B25-2016)</f>
        <v>6171.7926000000007</v>
      </c>
      <c r="E25" s="34">
        <f>INDEX('HB61'!$B$16:$G$16,1,B25-2016)+INDEX('HB61'!$B$86:$G$86,1,B25-2016)+INDEX('HB61'!$B$87:$G$87,1,B25-2016)</f>
        <v>-3392.0934138600005</v>
      </c>
      <c r="F25" s="66">
        <f t="shared" si="2"/>
        <v>3207.1958903524937</v>
      </c>
      <c r="G25" s="34">
        <f>INDEX('HB61'!$B$78:$G$78,1,$B25-2016)</f>
        <v>6171.7926000000007</v>
      </c>
      <c r="H25" s="34">
        <f>INDEX('HB61'!$B$76:$G$76,1,$B25-2016)+INDEX('HB61'!$B$79:$G$79,1,$B25-2016)+INDEX('HB61'!$B$80:$G$80,1,$B25-2016)</f>
        <v>-1472.5369165839147</v>
      </c>
      <c r="I25" s="66">
        <f t="shared" si="3"/>
        <v>4884.8356783828258</v>
      </c>
      <c r="J25" s="34">
        <f>INDEX('HB61'!$B$93:$G$93,1,$B25-2016)</f>
        <v>6171.7926000000007</v>
      </c>
      <c r="K25" s="34">
        <f>INDEX('HB61'!$B$92:$G$92,1,$B25-2016)+INDEX('HB61'!$B$94:$G$94,1,$B25-2016)+INDEX('HB61'!$B$95:$G$95,1,$B25-2016)</f>
        <v>-3392.0934138600005</v>
      </c>
      <c r="L25" s="66">
        <f t="shared" si="4"/>
        <v>3207.1958903524937</v>
      </c>
      <c r="M25" s="13">
        <f>INDEX('PF Model'!$F$45:$K$45,1,$B25-2016)</f>
        <v>11670.469051503305</v>
      </c>
      <c r="N25" s="13">
        <f>INDEX('PF Model'!$G$44:$L$44,1,$B25-2016)</f>
        <v>1135.2065290760142</v>
      </c>
      <c r="O25" s="66">
        <f t="shared" si="5"/>
        <v>12662.608456366999</v>
      </c>
      <c r="P25" s="13">
        <f>INDEX('PF Model'!$F$81:$K$81,1,$B25-2016)</f>
        <v>11670.469051503305</v>
      </c>
      <c r="Q25" s="13">
        <f>INDEX('PF Model'!$G$80:$L$80,1,$B25-2016)</f>
        <v>-1720.7153206592611</v>
      </c>
      <c r="R25" s="66">
        <f t="shared" si="6"/>
        <v>10166.611004132608</v>
      </c>
      <c r="S25" s="13">
        <v>4140.8926346739736</v>
      </c>
      <c r="T25" s="166">
        <v>12968.617829379547</v>
      </c>
    </row>
    <row r="26" spans="1:20">
      <c r="A26" s="63">
        <v>43266</v>
      </c>
      <c r="B26">
        <f t="shared" si="0"/>
        <v>2018</v>
      </c>
      <c r="C26" s="68">
        <f t="shared" si="1"/>
        <v>0.95890410958904104</v>
      </c>
      <c r="D26" s="34">
        <f>INDEX('HB61'!$B$85:$G$85,1,B26-2016)</f>
        <v>6171.7926000000007</v>
      </c>
      <c r="E26" s="34">
        <f>INDEX('HB61'!$B$16:$G$16,1,B26-2016)+INDEX('HB61'!$B$86:$G$86,1,B26-2016)+INDEX('HB61'!$B$87:$G$87,1,B26-2016)</f>
        <v>-3392.0934138600005</v>
      </c>
      <c r="F26" s="66">
        <f t="shared" si="2"/>
        <v>2919.1002853397263</v>
      </c>
      <c r="G26" s="34">
        <f>INDEX('HB61'!$B$78:$G$78,1,$B26-2016)</f>
        <v>6171.7926000000007</v>
      </c>
      <c r="H26" s="34">
        <f>INDEX('HB61'!$B$76:$G$76,1,$B26-2016)+INDEX('HB61'!$B$79:$G$79,1,$B26-2016)+INDEX('HB61'!$B$80:$G$80,1,$B26-2016)</f>
        <v>-1472.5369165839147</v>
      </c>
      <c r="I26" s="66">
        <f t="shared" si="3"/>
        <v>4759.7708991661102</v>
      </c>
      <c r="J26" s="34">
        <f>INDEX('HB61'!$B$93:$G$93,1,$B26-2016)</f>
        <v>6171.7926000000007</v>
      </c>
      <c r="K26" s="34">
        <f>INDEX('HB61'!$B$92:$G$92,1,$B26-2016)+INDEX('HB61'!$B$94:$G$94,1,$B26-2016)+INDEX('HB61'!$B$95:$G$95,1,$B26-2016)</f>
        <v>-3392.0934138600005</v>
      </c>
      <c r="L26" s="66">
        <f t="shared" si="4"/>
        <v>2919.1002853397263</v>
      </c>
      <c r="M26" s="13">
        <f>INDEX('PF Model'!$F$45:$K$45,1,$B26-2016)</f>
        <v>11670.469051503305</v>
      </c>
      <c r="N26" s="13">
        <f>INDEX('PF Model'!$G$44:$L$44,1,$B26-2016)</f>
        <v>1135.2065290760142</v>
      </c>
      <c r="O26" s="66">
        <f t="shared" si="5"/>
        <v>12759.023257466606</v>
      </c>
      <c r="P26" s="13">
        <f>INDEX('PF Model'!$F$81:$K$81,1,$B26-2016)</f>
        <v>11670.469051503305</v>
      </c>
      <c r="Q26" s="13">
        <f>INDEX('PF Model'!$G$80:$L$80,1,$B26-2016)</f>
        <v>-1720.7153206592611</v>
      </c>
      <c r="R26" s="66">
        <f t="shared" si="6"/>
        <v>10020.468059090315</v>
      </c>
      <c r="S26" s="13">
        <v>3919.9317709589059</v>
      </c>
      <c r="T26" s="166">
        <v>13195.729046774739</v>
      </c>
    </row>
    <row r="27" spans="1:20">
      <c r="A27" s="63">
        <v>43296</v>
      </c>
      <c r="B27">
        <f t="shared" si="0"/>
        <v>2019</v>
      </c>
      <c r="C27" s="68">
        <f t="shared" si="1"/>
        <v>4.1095890410958902E-2</v>
      </c>
      <c r="D27" s="34">
        <f>INDEX('HB61'!$B$85:$G$85,1,B27-2016)</f>
        <v>2779.6991861400002</v>
      </c>
      <c r="E27" s="34">
        <f>INDEX('HB61'!$B$16:$G$16,1,B27-2016)+INDEX('HB61'!$B$86:$G$86,1,B27-2016)+INDEX('HB61'!$B$87:$G$87,1,B27-2016)</f>
        <v>-2537.556363520554</v>
      </c>
      <c r="F27" s="66">
        <f t="shared" si="2"/>
        <v>2675.4160479131283</v>
      </c>
      <c r="G27" s="34">
        <f>INDEX('HB61'!$B$78:$G$78,1,$B27-2016)</f>
        <v>4699.255683416086</v>
      </c>
      <c r="H27" s="34">
        <f>INDEX('HB61'!$B$76:$G$76,1,$B27-2016)+INDEX('HB61'!$B$79:$G$79,1,$B27-2016)+INDEX('HB61'!$B$80:$G$80,1,$B27-2016)</f>
        <v>-389.12938683277861</v>
      </c>
      <c r="I27" s="66">
        <f t="shared" si="3"/>
        <v>4683.2640647791222</v>
      </c>
      <c r="J27" s="34">
        <f>INDEX('HB61'!$B$93:$G$93,1,$B27-2016)</f>
        <v>2779.6991861400002</v>
      </c>
      <c r="K27" s="34">
        <f>INDEX('HB61'!$B$92:$G$92,1,$B27-2016)+INDEX('HB61'!$B$94:$G$94,1,$B27-2016)+INDEX('HB61'!$B$95:$G$95,1,$B27-2016)</f>
        <v>-2537.556363520554</v>
      </c>
      <c r="L27" s="66">
        <f t="shared" si="4"/>
        <v>2675.4160479131283</v>
      </c>
      <c r="M27" s="13">
        <f>INDEX('PF Model'!$F$45:$K$45,1,$B27-2016)</f>
        <v>12805.67558057932</v>
      </c>
      <c r="N27" s="13">
        <f>INDEX('PF Model'!$G$44:$L$44,1,$B27-2016)</f>
        <v>1230.3660176974172</v>
      </c>
      <c r="O27" s="66">
        <f t="shared" si="5"/>
        <v>12856.238567607981</v>
      </c>
      <c r="P27" s="13">
        <f>INDEX('PF Model'!$F$81:$K$81,1,$B27-2016)</f>
        <v>9949.7537308440442</v>
      </c>
      <c r="Q27" s="13">
        <f>INDEX('PF Model'!$G$80:$L$80,1,$B27-2016)</f>
        <v>833.97544304636767</v>
      </c>
      <c r="R27" s="66">
        <f t="shared" si="6"/>
        <v>9984.0266942569087</v>
      </c>
      <c r="S27" s="13">
        <v>3715.1049351430152</v>
      </c>
      <c r="T27" s="166">
        <v>13424.005805454395</v>
      </c>
    </row>
    <row r="28" spans="1:20">
      <c r="A28" s="63">
        <v>43327</v>
      </c>
      <c r="B28">
        <f t="shared" si="0"/>
        <v>2019</v>
      </c>
      <c r="C28" s="68">
        <f t="shared" si="1"/>
        <v>0.12602739726027398</v>
      </c>
      <c r="D28" s="34">
        <f>INDEX('HB61'!$B$85:$G$85,1,B28-2016)</f>
        <v>2779.6991861400002</v>
      </c>
      <c r="E28" s="34">
        <f>INDEX('HB61'!$B$16:$G$16,1,B28-2016)+INDEX('HB61'!$B$86:$G$86,1,B28-2016)+INDEX('HB61'!$B$87:$G$87,1,B28-2016)</f>
        <v>-2537.556363520554</v>
      </c>
      <c r="F28" s="66">
        <f t="shared" si="2"/>
        <v>2459.897562244259</v>
      </c>
      <c r="G28" s="34">
        <f>INDEX('HB61'!$B$78:$G$78,1,$B28-2016)</f>
        <v>4699.255683416086</v>
      </c>
      <c r="H28" s="34">
        <f>INDEX('HB61'!$B$76:$G$76,1,$B28-2016)+INDEX('HB61'!$B$79:$G$79,1,$B28-2016)+INDEX('HB61'!$B$80:$G$80,1,$B28-2016)</f>
        <v>-389.12938683277861</v>
      </c>
      <c r="I28" s="66">
        <f t="shared" si="3"/>
        <v>4650.2147195960642</v>
      </c>
      <c r="J28" s="34">
        <f>INDEX('HB61'!$B$93:$G$93,1,$B28-2016)</f>
        <v>2779.6991861400002</v>
      </c>
      <c r="K28" s="34">
        <f>INDEX('HB61'!$B$92:$G$92,1,$B28-2016)+INDEX('HB61'!$B$94:$G$94,1,$B28-2016)+INDEX('HB61'!$B$95:$G$95,1,$B28-2016)</f>
        <v>-2537.556363520554</v>
      </c>
      <c r="L28" s="66">
        <f t="shared" si="4"/>
        <v>2459.897562244259</v>
      </c>
      <c r="M28" s="13">
        <f>INDEX('PF Model'!$F$45:$K$45,1,$B28-2016)</f>
        <v>12805.67558057932</v>
      </c>
      <c r="N28" s="13">
        <f>INDEX('PF Model'!$G$44:$L$44,1,$B28-2016)</f>
        <v>1230.3660176974172</v>
      </c>
      <c r="O28" s="66">
        <f t="shared" si="5"/>
        <v>12960.735407467213</v>
      </c>
      <c r="P28" s="13">
        <f>INDEX('PF Model'!$F$81:$K$81,1,$B28-2016)</f>
        <v>9949.7537308440442</v>
      </c>
      <c r="Q28" s="13">
        <f>INDEX('PF Model'!$G$80:$L$80,1,$B28-2016)</f>
        <v>833.97544304636767</v>
      </c>
      <c r="R28" s="66">
        <f t="shared" si="6"/>
        <v>10054.857485310162</v>
      </c>
      <c r="S28" s="13">
        <v>3512.7570048385769</v>
      </c>
      <c r="T28" s="166">
        <v>13668.666555997155</v>
      </c>
    </row>
    <row r="29" spans="1:20">
      <c r="A29" s="63">
        <v>43358</v>
      </c>
      <c r="B29">
        <f t="shared" si="0"/>
        <v>2019</v>
      </c>
      <c r="C29" s="68">
        <f t="shared" si="1"/>
        <v>0.21095890410958903</v>
      </c>
      <c r="D29" s="34">
        <f>INDEX('HB61'!$B$85:$G$85,1,B29-2016)</f>
        <v>2779.6991861400002</v>
      </c>
      <c r="E29" s="34">
        <f>INDEX('HB61'!$B$16:$G$16,1,B29-2016)+INDEX('HB61'!$B$86:$G$86,1,B29-2016)+INDEX('HB61'!$B$87:$G$87,1,B29-2016)</f>
        <v>-2537.556363520554</v>
      </c>
      <c r="F29" s="66">
        <f t="shared" si="2"/>
        <v>2244.3790765753902</v>
      </c>
      <c r="G29" s="34">
        <f>INDEX('HB61'!$B$78:$G$78,1,$B29-2016)</f>
        <v>4699.255683416086</v>
      </c>
      <c r="H29" s="34">
        <f>INDEX('HB61'!$B$76:$G$76,1,$B29-2016)+INDEX('HB61'!$B$79:$G$79,1,$B29-2016)+INDEX('HB61'!$B$80:$G$80,1,$B29-2016)</f>
        <v>-389.12938683277861</v>
      </c>
      <c r="I29" s="66">
        <f t="shared" si="3"/>
        <v>4617.1653744130062</v>
      </c>
      <c r="J29" s="34">
        <f>INDEX('HB61'!$B$93:$G$93,1,$B29-2016)</f>
        <v>2779.6991861400002</v>
      </c>
      <c r="K29" s="34">
        <f>INDEX('HB61'!$B$92:$G$92,1,$B29-2016)+INDEX('HB61'!$B$94:$G$94,1,$B29-2016)+INDEX('HB61'!$B$95:$G$95,1,$B29-2016)</f>
        <v>-2537.556363520554</v>
      </c>
      <c r="L29" s="66">
        <f t="shared" si="4"/>
        <v>2244.3790765753902</v>
      </c>
      <c r="M29" s="13">
        <f>INDEX('PF Model'!$F$45:$K$45,1,$B29-2016)</f>
        <v>12805.67558057932</v>
      </c>
      <c r="N29" s="13">
        <f>INDEX('PF Model'!$G$44:$L$44,1,$B29-2016)</f>
        <v>1230.3660176974172</v>
      </c>
      <c r="O29" s="66">
        <f t="shared" si="5"/>
        <v>13065.232247326447</v>
      </c>
      <c r="P29" s="13">
        <f>INDEX('PF Model'!$F$81:$K$81,1,$B29-2016)</f>
        <v>9949.7537308440442</v>
      </c>
      <c r="Q29" s="13">
        <f>INDEX('PF Model'!$G$80:$L$80,1,$B29-2016)</f>
        <v>833.97544304636767</v>
      </c>
      <c r="R29" s="66">
        <f t="shared" si="6"/>
        <v>10125.688276363415</v>
      </c>
      <c r="S29" s="13">
        <v>3310.4090745341387</v>
      </c>
      <c r="T29" s="166">
        <v>13913.327306539915</v>
      </c>
    </row>
    <row r="30" spans="1:20">
      <c r="A30" s="63">
        <v>43388</v>
      </c>
      <c r="B30">
        <f t="shared" si="0"/>
        <v>2019</v>
      </c>
      <c r="C30" s="68">
        <f t="shared" si="1"/>
        <v>0.29315068493150687</v>
      </c>
      <c r="D30" s="34">
        <f>INDEX('HB61'!$B$85:$G$85,1,B30-2016)</f>
        <v>2779.6991861400002</v>
      </c>
      <c r="E30" s="34">
        <f>INDEX('HB61'!$B$16:$G$16,1,B30-2016)+INDEX('HB61'!$B$86:$G$86,1,B30-2016)+INDEX('HB61'!$B$87:$G$87,1,B30-2016)</f>
        <v>-2537.556363520554</v>
      </c>
      <c r="F30" s="66">
        <f t="shared" si="2"/>
        <v>2035.812800121646</v>
      </c>
      <c r="G30" s="34">
        <f>INDEX('HB61'!$B$78:$G$78,1,$B30-2016)</f>
        <v>4699.255683416086</v>
      </c>
      <c r="H30" s="34">
        <f>INDEX('HB61'!$B$76:$G$76,1,$B30-2016)+INDEX('HB61'!$B$79:$G$79,1,$B30-2016)+INDEX('HB61'!$B$80:$G$80,1,$B30-2016)</f>
        <v>-389.12938683277861</v>
      </c>
      <c r="I30" s="66">
        <f t="shared" si="3"/>
        <v>4585.1821371390797</v>
      </c>
      <c r="J30" s="34">
        <f>INDEX('HB61'!$B$93:$G$93,1,$B30-2016)</f>
        <v>2779.6991861400002</v>
      </c>
      <c r="K30" s="34">
        <f>INDEX('HB61'!$B$92:$G$92,1,$B30-2016)+INDEX('HB61'!$B$94:$G$94,1,$B30-2016)+INDEX('HB61'!$B$95:$G$95,1,$B30-2016)</f>
        <v>-2537.556363520554</v>
      </c>
      <c r="L30" s="66">
        <f t="shared" si="4"/>
        <v>2035.812800121646</v>
      </c>
      <c r="M30" s="13">
        <f>INDEX('PF Model'!$F$45:$K$45,1,$B30-2016)</f>
        <v>12805.67558057932</v>
      </c>
      <c r="N30" s="13">
        <f>INDEX('PF Model'!$G$44:$L$44,1,$B30-2016)</f>
        <v>1230.3660176974172</v>
      </c>
      <c r="O30" s="66">
        <f t="shared" si="5"/>
        <v>13166.358221383769</v>
      </c>
      <c r="P30" s="13">
        <f>INDEX('PF Model'!$F$81:$K$81,1,$B30-2016)</f>
        <v>9949.7537308440442</v>
      </c>
      <c r="Q30" s="13">
        <f>INDEX('PF Model'!$G$80:$L$80,1,$B30-2016)</f>
        <v>833.97544304636767</v>
      </c>
      <c r="R30" s="66">
        <f t="shared" si="6"/>
        <v>10194.234203189144</v>
      </c>
      <c r="S30" s="13">
        <v>3114.5884968201663</v>
      </c>
      <c r="T30" s="166">
        <v>14150.095774807105</v>
      </c>
    </row>
    <row r="31" spans="1:20">
      <c r="A31" s="63">
        <v>43419</v>
      </c>
      <c r="B31">
        <f t="shared" si="0"/>
        <v>2019</v>
      </c>
      <c r="C31" s="68">
        <f t="shared" si="1"/>
        <v>0.37808219178082192</v>
      </c>
      <c r="D31" s="34">
        <f>INDEX('HB61'!$B$85:$G$85,1,B31-2016)</f>
        <v>2779.6991861400002</v>
      </c>
      <c r="E31" s="34">
        <f>INDEX('HB61'!$B$16:$G$16,1,B31-2016)+INDEX('HB61'!$B$86:$G$86,1,B31-2016)+INDEX('HB61'!$B$87:$G$87,1,B31-2016)</f>
        <v>-2537.556363520554</v>
      </c>
      <c r="F31" s="66">
        <f t="shared" si="2"/>
        <v>1820.2943144527771</v>
      </c>
      <c r="G31" s="34">
        <f>INDEX('HB61'!$B$78:$G$78,1,$B31-2016)</f>
        <v>4699.255683416086</v>
      </c>
      <c r="H31" s="34">
        <f>INDEX('HB61'!$B$76:$G$76,1,$B31-2016)+INDEX('HB61'!$B$79:$G$79,1,$B31-2016)+INDEX('HB61'!$B$80:$G$80,1,$B31-2016)</f>
        <v>-389.12938683277861</v>
      </c>
      <c r="I31" s="66">
        <f t="shared" si="3"/>
        <v>4552.1327919560217</v>
      </c>
      <c r="J31" s="34">
        <f>INDEX('HB61'!$B$93:$G$93,1,$B31-2016)</f>
        <v>2779.6991861400002</v>
      </c>
      <c r="K31" s="34">
        <f>INDEX('HB61'!$B$92:$G$92,1,$B31-2016)+INDEX('HB61'!$B$94:$G$94,1,$B31-2016)+INDEX('HB61'!$B$95:$G$95,1,$B31-2016)</f>
        <v>-2537.556363520554</v>
      </c>
      <c r="L31" s="66">
        <f t="shared" si="4"/>
        <v>1820.2943144527771</v>
      </c>
      <c r="M31" s="13">
        <f>INDEX('PF Model'!$F$45:$K$45,1,$B31-2016)</f>
        <v>12805.67558057932</v>
      </c>
      <c r="N31" s="13">
        <f>INDEX('PF Model'!$G$44:$L$44,1,$B31-2016)</f>
        <v>1230.3660176974172</v>
      </c>
      <c r="O31" s="66">
        <f t="shared" si="5"/>
        <v>13270.855061243001</v>
      </c>
      <c r="P31" s="13">
        <f>INDEX('PF Model'!$F$81:$K$81,1,$B31-2016)</f>
        <v>9949.7537308440442</v>
      </c>
      <c r="Q31" s="13">
        <f>INDEX('PF Model'!$G$80:$L$80,1,$B31-2016)</f>
        <v>833.97544304636767</v>
      </c>
      <c r="R31" s="66">
        <f t="shared" si="6"/>
        <v>10265.064994242397</v>
      </c>
      <c r="S31" s="13">
        <v>2912.2405665157276</v>
      </c>
      <c r="T31" s="166">
        <v>14394.756525349865</v>
      </c>
    </row>
    <row r="32" spans="1:20">
      <c r="A32" s="63">
        <v>43449</v>
      </c>
      <c r="B32">
        <f t="shared" si="0"/>
        <v>2019</v>
      </c>
      <c r="C32" s="68">
        <f t="shared" si="1"/>
        <v>0.46027397260273972</v>
      </c>
      <c r="D32" s="34">
        <f>INDEX('HB61'!$B$85:$G$85,1,B32-2016)</f>
        <v>2779.6991861400002</v>
      </c>
      <c r="E32" s="34">
        <f>INDEX('HB61'!$B$16:$G$16,1,B32-2016)+INDEX('HB61'!$B$86:$G$86,1,B32-2016)+INDEX('HB61'!$B$87:$G$87,1,B32-2016)</f>
        <v>-2537.556363520554</v>
      </c>
      <c r="F32" s="66">
        <f t="shared" si="2"/>
        <v>1611.7280379990329</v>
      </c>
      <c r="G32" s="34">
        <f>INDEX('HB61'!$B$78:$G$78,1,$B32-2016)</f>
        <v>4699.255683416086</v>
      </c>
      <c r="H32" s="34">
        <f>INDEX('HB61'!$B$76:$G$76,1,$B32-2016)+INDEX('HB61'!$B$79:$G$79,1,$B32-2016)+INDEX('HB61'!$B$80:$G$80,1,$B32-2016)</f>
        <v>-389.12938683277861</v>
      </c>
      <c r="I32" s="66">
        <f t="shared" si="3"/>
        <v>4520.1495546820943</v>
      </c>
      <c r="J32" s="34">
        <f>INDEX('HB61'!$B$93:$G$93,1,$B32-2016)</f>
        <v>2779.6991861400002</v>
      </c>
      <c r="K32" s="34">
        <f>INDEX('HB61'!$B$92:$G$92,1,$B32-2016)+INDEX('HB61'!$B$94:$G$94,1,$B32-2016)+INDEX('HB61'!$B$95:$G$95,1,$B32-2016)</f>
        <v>-2537.556363520554</v>
      </c>
      <c r="L32" s="66">
        <f t="shared" si="4"/>
        <v>1611.7280379990329</v>
      </c>
      <c r="M32" s="13">
        <f>INDEX('PF Model'!$F$45:$K$45,1,$B32-2016)</f>
        <v>12805.67558057932</v>
      </c>
      <c r="N32" s="13">
        <f>INDEX('PF Model'!$G$44:$L$44,1,$B32-2016)</f>
        <v>1230.3660176974172</v>
      </c>
      <c r="O32" s="66">
        <f t="shared" si="5"/>
        <v>13371.981035300323</v>
      </c>
      <c r="P32" s="13">
        <f>INDEX('PF Model'!$F$81:$K$81,1,$B32-2016)</f>
        <v>9949.7537308440442</v>
      </c>
      <c r="Q32" s="13">
        <f>INDEX('PF Model'!$G$80:$L$80,1,$B32-2016)</f>
        <v>833.97544304636767</v>
      </c>
      <c r="R32" s="66">
        <f t="shared" si="6"/>
        <v>10333.610921068126</v>
      </c>
      <c r="S32" s="13">
        <v>2716.4199888017556</v>
      </c>
      <c r="T32" s="166">
        <v>14631.524993617053</v>
      </c>
    </row>
    <row r="33" spans="1:20">
      <c r="A33" s="63">
        <v>43480</v>
      </c>
      <c r="B33">
        <f t="shared" si="0"/>
        <v>2019</v>
      </c>
      <c r="C33" s="68">
        <f t="shared" si="1"/>
        <v>0.54520547945205478</v>
      </c>
      <c r="D33" s="34">
        <f>INDEX('HB61'!$B$85:$G$85,1,B33-2016)</f>
        <v>2779.6991861400002</v>
      </c>
      <c r="E33" s="34">
        <f>INDEX('HB61'!$B$16:$G$16,1,B33-2016)+INDEX('HB61'!$B$86:$G$86,1,B33-2016)+INDEX('HB61'!$B$87:$G$87,1,B33-2016)</f>
        <v>-2537.556363520554</v>
      </c>
      <c r="F33" s="66">
        <f t="shared" si="2"/>
        <v>1396.2095523301639</v>
      </c>
      <c r="G33" s="34">
        <f>INDEX('HB61'!$B$78:$G$78,1,$B33-2016)</f>
        <v>4699.255683416086</v>
      </c>
      <c r="H33" s="34">
        <f>INDEX('HB61'!$B$76:$G$76,1,$B33-2016)+INDEX('HB61'!$B$79:$G$79,1,$B33-2016)+INDEX('HB61'!$B$80:$G$80,1,$B33-2016)</f>
        <v>-389.12938683277861</v>
      </c>
      <c r="I33" s="66">
        <f t="shared" si="3"/>
        <v>4487.1002094990372</v>
      </c>
      <c r="J33" s="34">
        <f>INDEX('HB61'!$B$93:$G$93,1,$B33-2016)</f>
        <v>2779.6991861400002</v>
      </c>
      <c r="K33" s="34">
        <f>INDEX('HB61'!$B$92:$G$92,1,$B33-2016)+INDEX('HB61'!$B$94:$G$94,1,$B33-2016)+INDEX('HB61'!$B$95:$G$95,1,$B33-2016)</f>
        <v>-2537.556363520554</v>
      </c>
      <c r="L33" s="66">
        <f t="shared" si="4"/>
        <v>1396.2095523301639</v>
      </c>
      <c r="M33" s="13">
        <f>INDEX('PF Model'!$F$45:$K$45,1,$B33-2016)</f>
        <v>12805.67558057932</v>
      </c>
      <c r="N33" s="13">
        <f>INDEX('PF Model'!$G$44:$L$44,1,$B33-2016)</f>
        <v>1230.3660176974172</v>
      </c>
      <c r="O33" s="66">
        <f t="shared" si="5"/>
        <v>13476.477875159555</v>
      </c>
      <c r="P33" s="13">
        <f>INDEX('PF Model'!$F$81:$K$81,1,$B33-2016)</f>
        <v>9949.7537308440442</v>
      </c>
      <c r="Q33" s="13">
        <f>INDEX('PF Model'!$G$80:$L$80,1,$B33-2016)</f>
        <v>833.97544304636767</v>
      </c>
      <c r="R33" s="66">
        <f t="shared" si="6"/>
        <v>10404.441712121379</v>
      </c>
      <c r="S33" s="13">
        <v>2514.0720584973169</v>
      </c>
      <c r="T33" s="166">
        <v>14876.185744159815</v>
      </c>
    </row>
    <row r="34" spans="1:20">
      <c r="A34" s="63">
        <v>43511</v>
      </c>
      <c r="B34">
        <f t="shared" si="0"/>
        <v>2019</v>
      </c>
      <c r="C34" s="68">
        <f t="shared" si="1"/>
        <v>0.63013698630136983</v>
      </c>
      <c r="D34" s="34">
        <f>INDEX('HB61'!$B$85:$G$85,1,B34-2016)</f>
        <v>2779.6991861400002</v>
      </c>
      <c r="E34" s="34">
        <f>INDEX('HB61'!$B$16:$G$16,1,B34-2016)+INDEX('HB61'!$B$86:$G$86,1,B34-2016)+INDEX('HB61'!$B$87:$G$87,1,B34-2016)</f>
        <v>-2537.556363520554</v>
      </c>
      <c r="F34" s="66">
        <f t="shared" si="2"/>
        <v>1180.6910666612951</v>
      </c>
      <c r="G34" s="34">
        <f>INDEX('HB61'!$B$78:$G$78,1,$B34-2016)</f>
        <v>4699.255683416086</v>
      </c>
      <c r="H34" s="34">
        <f>INDEX('HB61'!$B$76:$G$76,1,$B34-2016)+INDEX('HB61'!$B$79:$G$79,1,$B34-2016)+INDEX('HB61'!$B$80:$G$80,1,$B34-2016)</f>
        <v>-389.12938683277861</v>
      </c>
      <c r="I34" s="66">
        <f t="shared" si="3"/>
        <v>4454.0508643159792</v>
      </c>
      <c r="J34" s="34">
        <f>INDEX('HB61'!$B$93:$G$93,1,$B34-2016)</f>
        <v>2779.6991861400002</v>
      </c>
      <c r="K34" s="34">
        <f>INDEX('HB61'!$B$92:$G$92,1,$B34-2016)+INDEX('HB61'!$B$94:$G$94,1,$B34-2016)+INDEX('HB61'!$B$95:$G$95,1,$B34-2016)</f>
        <v>-2537.556363520554</v>
      </c>
      <c r="L34" s="66">
        <f t="shared" si="4"/>
        <v>1180.6910666612951</v>
      </c>
      <c r="M34" s="13">
        <f>INDEX('PF Model'!$F$45:$K$45,1,$B34-2016)</f>
        <v>12805.67558057932</v>
      </c>
      <c r="N34" s="13">
        <f>INDEX('PF Model'!$G$44:$L$44,1,$B34-2016)</f>
        <v>1230.3660176974172</v>
      </c>
      <c r="O34" s="66">
        <f t="shared" si="5"/>
        <v>13580.974715018789</v>
      </c>
      <c r="P34" s="13">
        <f>INDEX('PF Model'!$F$81:$K$81,1,$B34-2016)</f>
        <v>9949.7537308440442</v>
      </c>
      <c r="Q34" s="13">
        <f>INDEX('PF Model'!$G$80:$L$80,1,$B34-2016)</f>
        <v>833.97544304636767</v>
      </c>
      <c r="R34" s="66">
        <f t="shared" si="6"/>
        <v>10475.272503174632</v>
      </c>
      <c r="S34" s="13">
        <v>2311.7241281928787</v>
      </c>
      <c r="T34" s="166">
        <v>15120.846494702575</v>
      </c>
    </row>
    <row r="35" spans="1:20">
      <c r="A35" s="63">
        <v>43539</v>
      </c>
      <c r="B35">
        <f t="shared" si="0"/>
        <v>2019</v>
      </c>
      <c r="C35" s="68">
        <f t="shared" si="1"/>
        <v>0.70684931506849313</v>
      </c>
      <c r="D35" s="34">
        <f>INDEX('HB61'!$B$85:$G$85,1,B35-2016)</f>
        <v>2779.6991861400002</v>
      </c>
      <c r="E35" s="34">
        <f>INDEX('HB61'!$B$16:$G$16,1,B35-2016)+INDEX('HB61'!$B$86:$G$86,1,B35-2016)+INDEX('HB61'!$B$87:$G$87,1,B35-2016)</f>
        <v>-2537.556363520554</v>
      </c>
      <c r="F35" s="66">
        <f t="shared" si="2"/>
        <v>986.02920863780037</v>
      </c>
      <c r="G35" s="34">
        <f>INDEX('HB61'!$B$78:$G$78,1,$B35-2016)</f>
        <v>4699.255683416086</v>
      </c>
      <c r="H35" s="34">
        <f>INDEX('HB61'!$B$76:$G$76,1,$B35-2016)+INDEX('HB61'!$B$79:$G$79,1,$B35-2016)+INDEX('HB61'!$B$80:$G$80,1,$B35-2016)</f>
        <v>-389.12938683277861</v>
      </c>
      <c r="I35" s="66">
        <f t="shared" si="3"/>
        <v>4424.1998428603138</v>
      </c>
      <c r="J35" s="34">
        <f>INDEX('HB61'!$B$93:$G$93,1,$B35-2016)</f>
        <v>2779.6991861400002</v>
      </c>
      <c r="K35" s="34">
        <f>INDEX('HB61'!$B$92:$G$92,1,$B35-2016)+INDEX('HB61'!$B$94:$G$94,1,$B35-2016)+INDEX('HB61'!$B$95:$G$95,1,$B35-2016)</f>
        <v>-2537.556363520554</v>
      </c>
      <c r="L35" s="66">
        <f t="shared" si="4"/>
        <v>986.02920863780037</v>
      </c>
      <c r="M35" s="13">
        <f>INDEX('PF Model'!$F$45:$K$45,1,$B35-2016)</f>
        <v>12805.67558057932</v>
      </c>
      <c r="N35" s="13">
        <f>INDEX('PF Model'!$G$44:$L$44,1,$B35-2016)</f>
        <v>1230.3660176974172</v>
      </c>
      <c r="O35" s="66">
        <f t="shared" si="5"/>
        <v>13675.358957472288</v>
      </c>
      <c r="P35" s="13">
        <f>INDEX('PF Model'!$F$81:$K$81,1,$B35-2016)</f>
        <v>9949.7537308440442</v>
      </c>
      <c r="Q35" s="13">
        <f>INDEX('PF Model'!$G$80:$L$80,1,$B35-2016)</f>
        <v>833.97544304636767</v>
      </c>
      <c r="R35" s="66">
        <f t="shared" si="6"/>
        <v>10539.248701545312</v>
      </c>
      <c r="S35" s="13">
        <v>2128.958255659838</v>
      </c>
      <c r="T35" s="166">
        <v>15341.830398418617</v>
      </c>
    </row>
    <row r="36" spans="1:20">
      <c r="A36" s="63">
        <v>43570</v>
      </c>
      <c r="B36">
        <f t="shared" si="0"/>
        <v>2019</v>
      </c>
      <c r="C36" s="68">
        <f t="shared" si="1"/>
        <v>0.79178082191780819</v>
      </c>
      <c r="D36" s="34">
        <f>INDEX('HB61'!$B$85:$G$85,1,B36-2016)</f>
        <v>2779.6991861400002</v>
      </c>
      <c r="E36" s="34">
        <f>INDEX('HB61'!$B$16:$G$16,1,B36-2016)+INDEX('HB61'!$B$86:$G$86,1,B36-2016)+INDEX('HB61'!$B$87:$G$87,1,B36-2016)</f>
        <v>-2537.556363520554</v>
      </c>
      <c r="F36" s="66">
        <f t="shared" si="2"/>
        <v>770.51072296893153</v>
      </c>
      <c r="G36" s="34">
        <f>INDEX('HB61'!$B$78:$G$78,1,$B36-2016)</f>
        <v>4699.255683416086</v>
      </c>
      <c r="H36" s="34">
        <f>INDEX('HB61'!$B$76:$G$76,1,$B36-2016)+INDEX('HB61'!$B$79:$G$79,1,$B36-2016)+INDEX('HB61'!$B$80:$G$80,1,$B36-2016)</f>
        <v>-389.12938683277861</v>
      </c>
      <c r="I36" s="66">
        <f t="shared" si="3"/>
        <v>4391.1504976772558</v>
      </c>
      <c r="J36" s="34">
        <f>INDEX('HB61'!$B$93:$G$93,1,$B36-2016)</f>
        <v>2779.6991861400002</v>
      </c>
      <c r="K36" s="34">
        <f>INDEX('HB61'!$B$92:$G$92,1,$B36-2016)+INDEX('HB61'!$B$94:$G$94,1,$B36-2016)+INDEX('HB61'!$B$95:$G$95,1,$B36-2016)</f>
        <v>-2537.556363520554</v>
      </c>
      <c r="L36" s="66">
        <f t="shared" si="4"/>
        <v>770.51072296893153</v>
      </c>
      <c r="M36" s="13">
        <f>INDEX('PF Model'!$F$45:$K$45,1,$B36-2016)</f>
        <v>12805.67558057932</v>
      </c>
      <c r="N36" s="13">
        <f>INDEX('PF Model'!$G$44:$L$44,1,$B36-2016)</f>
        <v>1230.3660176974172</v>
      </c>
      <c r="O36" s="66">
        <f t="shared" si="5"/>
        <v>13779.855797331522</v>
      </c>
      <c r="P36" s="13">
        <f>INDEX('PF Model'!$F$81:$K$81,1,$B36-2016)</f>
        <v>9949.7537308440442</v>
      </c>
      <c r="Q36" s="13">
        <f>INDEX('PF Model'!$G$80:$L$80,1,$B36-2016)</f>
        <v>833.97544304636767</v>
      </c>
      <c r="R36" s="66">
        <f t="shared" si="6"/>
        <v>10610.079492598565</v>
      </c>
      <c r="S36" s="13">
        <v>1926.6103253553995</v>
      </c>
      <c r="T36" s="166">
        <v>15586.491148961379</v>
      </c>
    </row>
    <row r="37" spans="1:20">
      <c r="A37" s="63">
        <v>43600</v>
      </c>
      <c r="B37">
        <f t="shared" si="0"/>
        <v>2019</v>
      </c>
      <c r="C37" s="68">
        <f t="shared" si="1"/>
        <v>0.87397260273972599</v>
      </c>
      <c r="D37" s="34">
        <f>INDEX('HB61'!$B$85:$G$85,1,B37-2016)</f>
        <v>2779.6991861400002</v>
      </c>
      <c r="E37" s="34">
        <f>INDEX('HB61'!$B$16:$G$16,1,B37-2016)+INDEX('HB61'!$B$86:$G$86,1,B37-2016)+INDEX('HB61'!$B$87:$G$87,1,B37-2016)</f>
        <v>-2537.556363520554</v>
      </c>
      <c r="F37" s="66">
        <f t="shared" si="2"/>
        <v>561.94444651518734</v>
      </c>
      <c r="G37" s="34">
        <f>INDEX('HB61'!$B$78:$G$78,1,$B37-2016)</f>
        <v>4699.255683416086</v>
      </c>
      <c r="H37" s="34">
        <f>INDEX('HB61'!$B$76:$G$76,1,$B37-2016)+INDEX('HB61'!$B$79:$G$79,1,$B37-2016)+INDEX('HB61'!$B$80:$G$80,1,$B37-2016)</f>
        <v>-389.12938683277861</v>
      </c>
      <c r="I37" s="66">
        <f t="shared" si="3"/>
        <v>4359.1672604033283</v>
      </c>
      <c r="J37" s="34">
        <f>INDEX('HB61'!$B$93:$G$93,1,$B37-2016)</f>
        <v>2779.6991861400002</v>
      </c>
      <c r="K37" s="34">
        <f>INDEX('HB61'!$B$92:$G$92,1,$B37-2016)+INDEX('HB61'!$B$94:$G$94,1,$B37-2016)+INDEX('HB61'!$B$95:$G$95,1,$B37-2016)</f>
        <v>-2537.556363520554</v>
      </c>
      <c r="L37" s="66">
        <f t="shared" si="4"/>
        <v>561.94444651518734</v>
      </c>
      <c r="M37" s="13">
        <f>INDEX('PF Model'!$F$45:$K$45,1,$B37-2016)</f>
        <v>12805.67558057932</v>
      </c>
      <c r="N37" s="13">
        <f>INDEX('PF Model'!$G$44:$L$44,1,$B37-2016)</f>
        <v>1230.3660176974172</v>
      </c>
      <c r="O37" s="66">
        <f t="shared" si="5"/>
        <v>13880.981771388844</v>
      </c>
      <c r="P37" s="13">
        <f>INDEX('PF Model'!$F$81:$K$81,1,$B37-2016)</f>
        <v>9949.7537308440442</v>
      </c>
      <c r="Q37" s="13">
        <f>INDEX('PF Model'!$G$80:$L$80,1,$B37-2016)</f>
        <v>833.97544304636767</v>
      </c>
      <c r="R37" s="66">
        <f t="shared" si="6"/>
        <v>10678.625419424294</v>
      </c>
      <c r="S37" s="13">
        <v>1730.7897476414269</v>
      </c>
      <c r="T37" s="166">
        <v>15823.259617228567</v>
      </c>
    </row>
    <row r="38" spans="1:20">
      <c r="A38" s="63">
        <v>43631</v>
      </c>
      <c r="B38">
        <f t="shared" si="0"/>
        <v>2019</v>
      </c>
      <c r="C38" s="68">
        <f t="shared" si="1"/>
        <v>0.95890410958904104</v>
      </c>
      <c r="D38" s="34">
        <f>INDEX('HB61'!$B$85:$G$85,1,B38-2016)</f>
        <v>2779.6991861400002</v>
      </c>
      <c r="E38" s="34">
        <f>INDEX('HB61'!$B$16:$G$16,1,B38-2016)+INDEX('HB61'!$B$86:$G$86,1,B38-2016)+INDEX('HB61'!$B$87:$G$87,1,B38-2016)</f>
        <v>-2537.556363520554</v>
      </c>
      <c r="F38" s="66">
        <f t="shared" si="2"/>
        <v>346.4259608463185</v>
      </c>
      <c r="G38" s="34">
        <f>INDEX('HB61'!$B$78:$G$78,1,$B38-2016)</f>
        <v>4699.255683416086</v>
      </c>
      <c r="H38" s="34">
        <f>INDEX('HB61'!$B$76:$G$76,1,$B38-2016)+INDEX('HB61'!$B$79:$G$79,1,$B38-2016)+INDEX('HB61'!$B$80:$G$80,1,$B38-2016)</f>
        <v>-389.12938683277861</v>
      </c>
      <c r="I38" s="66">
        <f t="shared" si="3"/>
        <v>4326.1179152202712</v>
      </c>
      <c r="J38" s="34">
        <f>INDEX('HB61'!$B$93:$G$93,1,$B38-2016)</f>
        <v>2779.6991861400002</v>
      </c>
      <c r="K38" s="34">
        <f>INDEX('HB61'!$B$92:$G$92,1,$B38-2016)+INDEX('HB61'!$B$94:$G$94,1,$B38-2016)+INDEX('HB61'!$B$95:$G$95,1,$B38-2016)</f>
        <v>-2537.556363520554</v>
      </c>
      <c r="L38" s="66">
        <f t="shared" si="4"/>
        <v>346.4259608463185</v>
      </c>
      <c r="M38" s="13">
        <f>INDEX('PF Model'!$F$45:$K$45,1,$B38-2016)</f>
        <v>12805.67558057932</v>
      </c>
      <c r="N38" s="13">
        <f>INDEX('PF Model'!$G$44:$L$44,1,$B38-2016)</f>
        <v>1230.3660176974172</v>
      </c>
      <c r="O38" s="66">
        <f t="shared" si="5"/>
        <v>13985.478611248076</v>
      </c>
      <c r="P38" s="13">
        <f>INDEX('PF Model'!$F$81:$K$81,1,$B38-2016)</f>
        <v>9949.7537308440442</v>
      </c>
      <c r="Q38" s="13">
        <f>INDEX('PF Model'!$G$80:$L$80,1,$B38-2016)</f>
        <v>833.97544304636767</v>
      </c>
      <c r="R38" s="66">
        <f t="shared" si="6"/>
        <v>10749.456210477547</v>
      </c>
      <c r="S38" s="13">
        <v>1528.4418173369886</v>
      </c>
      <c r="T38" s="166">
        <v>16067.920367771327</v>
      </c>
    </row>
    <row r="39" spans="1:20">
      <c r="A39" s="63">
        <v>43661</v>
      </c>
      <c r="B39">
        <f t="shared" si="0"/>
        <v>2020</v>
      </c>
      <c r="C39" s="68">
        <f t="shared" si="1"/>
        <v>4.0983606557377046E-2</v>
      </c>
      <c r="D39" s="34">
        <f>INDEX('HB61'!$B$85:$G$85,1,B39-2016)</f>
        <v>242.14282261944618</v>
      </c>
      <c r="E39" s="34">
        <f>INDEX('HB61'!$B$16:$G$16,1,B39-2016)+INDEX('HB61'!$B$86:$G$86,1,B39-2016)+INDEX('HB61'!$B$87:$G$87,1,B39-2016)</f>
        <v>-2487.5</v>
      </c>
      <c r="F39" s="66">
        <f t="shared" si="2"/>
        <v>140.19610130797076</v>
      </c>
      <c r="G39" s="34">
        <f>INDEX('HB61'!$B$78:$G$78,1,$B39-2016)</f>
        <v>4310.1262965833066</v>
      </c>
      <c r="H39" s="34">
        <f>INDEX('HB61'!$B$76:$G$76,1,$B39-2016)+INDEX('HB61'!$B$79:$G$79,1,$B39-2016)+INDEX('HB61'!$B$80:$G$80,1,$B39-2016)</f>
        <v>-185.27996941718953</v>
      </c>
      <c r="I39" s="66">
        <f t="shared" si="3"/>
        <v>4302.5328552137498</v>
      </c>
      <c r="J39" s="34">
        <f>INDEX('HB61'!$B$93:$G$93,1,$B39-2016)</f>
        <v>242.14282261944618</v>
      </c>
      <c r="K39" s="34">
        <f>INDEX('HB61'!$B$92:$G$92,1,$B39-2016)+INDEX('HB61'!$B$94:$G$94,1,$B39-2016)+INDEX('HB61'!$B$95:$G$95,1,$B39-2016)</f>
        <v>-2487.5</v>
      </c>
      <c r="L39" s="66">
        <f t="shared" si="4"/>
        <v>140.19610130797076</v>
      </c>
      <c r="M39" s="13">
        <f>INDEX('PF Model'!$F$45:$K$45,1,$B39-2016)</f>
        <v>14036.041598276737</v>
      </c>
      <c r="N39" s="13">
        <f>INDEX('PF Model'!$G$44:$L$44,1,$B39-2016)</f>
        <v>-1095.2612138304023</v>
      </c>
      <c r="O39" s="66">
        <f t="shared" si="5"/>
        <v>13991.153843611557</v>
      </c>
      <c r="P39" s="13">
        <f>INDEX('PF Model'!$F$81:$K$81,1,$B39-2016)</f>
        <v>10783.729173890411</v>
      </c>
      <c r="Q39" s="13">
        <f>INDEX('PF Model'!$G$80:$L$80,1,$B39-2016)</f>
        <v>674.7846031529657</v>
      </c>
      <c r="R39" s="66">
        <f t="shared" si="6"/>
        <v>10811.384280577009</v>
      </c>
      <c r="S39" s="13">
        <v>1332.3888084213793</v>
      </c>
      <c r="T39" s="166">
        <v>16273.990018304637</v>
      </c>
    </row>
    <row r="40" spans="1:20">
      <c r="A40" s="63">
        <v>43692</v>
      </c>
      <c r="B40">
        <f t="shared" si="0"/>
        <v>2020</v>
      </c>
      <c r="C40" s="68">
        <f t="shared" si="1"/>
        <v>0.12568306010928962</v>
      </c>
      <c r="D40" s="34">
        <f>INDEX('HB61'!$B$85:$G$85,1,B40-2016)</f>
        <v>242.14282261944618</v>
      </c>
      <c r="E40" s="34">
        <f>INDEX('HB61'!$B$16:$G$16,1,B40-2016)+INDEX('HB61'!$B$86:$G$86,1,B40-2016)+INDEX('HB61'!$B$87:$G$87,1,B40-2016)</f>
        <v>-2487.5</v>
      </c>
      <c r="F40" s="66">
        <f t="shared" si="2"/>
        <v>0</v>
      </c>
      <c r="G40" s="34">
        <f>INDEX('HB61'!$B$78:$G$78,1,$B40-2016)</f>
        <v>4310.1262965833066</v>
      </c>
      <c r="H40" s="34">
        <f>INDEX('HB61'!$B$76:$G$76,1,$B40-2016)+INDEX('HB61'!$B$79:$G$79,1,$B40-2016)+INDEX('HB61'!$B$80:$G$80,1,$B40-2016)</f>
        <v>-185.27996941718953</v>
      </c>
      <c r="I40" s="66">
        <f t="shared" si="3"/>
        <v>4286.839743049999</v>
      </c>
      <c r="J40" s="34">
        <f>INDEX('HB61'!$B$93:$G$93,1,$B40-2016)</f>
        <v>242.14282261944618</v>
      </c>
      <c r="K40" s="34">
        <f>INDEX('HB61'!$B$92:$G$92,1,$B40-2016)+INDEX('HB61'!$B$94:$G$94,1,$B40-2016)+INDEX('HB61'!$B$95:$G$95,1,$B40-2016)</f>
        <v>-2487.5</v>
      </c>
      <c r="L40" s="66">
        <f t="shared" si="4"/>
        <v>0</v>
      </c>
      <c r="M40" s="13">
        <f>INDEX('PF Model'!$F$45:$K$45,1,$B40-2016)</f>
        <v>14036.041598276737</v>
      </c>
      <c r="N40" s="13">
        <f>INDEX('PF Model'!$G$44:$L$44,1,$B40-2016)</f>
        <v>-1095.2612138304023</v>
      </c>
      <c r="O40" s="66">
        <f t="shared" si="5"/>
        <v>13898.385817303517</v>
      </c>
      <c r="P40" s="13">
        <f>INDEX('PF Model'!$F$81:$K$81,1,$B40-2016)</f>
        <v>10783.729173890411</v>
      </c>
      <c r="Q40" s="13">
        <f>INDEX('PF Model'!$G$80:$L$80,1,$B40-2016)</f>
        <v>674.7846031529657</v>
      </c>
      <c r="R40" s="66">
        <f t="shared" si="6"/>
        <v>10868.538167729308</v>
      </c>
      <c r="S40" s="13">
        <v>1129.5605203002251</v>
      </c>
      <c r="T40" s="166">
        <v>16455.206545530717</v>
      </c>
    </row>
    <row r="41" spans="1:20">
      <c r="A41" s="63">
        <v>43723</v>
      </c>
      <c r="B41">
        <f t="shared" si="0"/>
        <v>2020</v>
      </c>
      <c r="C41" s="68">
        <f t="shared" si="1"/>
        <v>0.2103825136612022</v>
      </c>
      <c r="D41" s="34">
        <f>INDEX('HB61'!$B$85:$G$85,1,B41-2016)</f>
        <v>242.14282261944618</v>
      </c>
      <c r="E41" s="34">
        <f>INDEX('HB61'!$B$16:$G$16,1,B41-2016)+INDEX('HB61'!$B$86:$G$86,1,B41-2016)+INDEX('HB61'!$B$87:$G$87,1,B41-2016)</f>
        <v>-2487.5</v>
      </c>
      <c r="F41" s="66">
        <f t="shared" si="2"/>
        <v>0</v>
      </c>
      <c r="G41" s="34">
        <f>INDEX('HB61'!$B$78:$G$78,1,$B41-2016)</f>
        <v>4310.1262965833066</v>
      </c>
      <c r="H41" s="34">
        <f>INDEX('HB61'!$B$76:$G$76,1,$B41-2016)+INDEX('HB61'!$B$79:$G$79,1,$B41-2016)+INDEX('HB61'!$B$80:$G$80,1,$B41-2016)</f>
        <v>-185.27996941718953</v>
      </c>
      <c r="I41" s="66">
        <f t="shared" si="3"/>
        <v>4271.1466308862473</v>
      </c>
      <c r="J41" s="34">
        <f>INDEX('HB61'!$B$93:$G$93,1,$B41-2016)</f>
        <v>242.14282261944618</v>
      </c>
      <c r="K41" s="34">
        <f>INDEX('HB61'!$B$92:$G$92,1,$B41-2016)+INDEX('HB61'!$B$94:$G$94,1,$B41-2016)+INDEX('HB61'!$B$95:$G$95,1,$B41-2016)</f>
        <v>-2487.5</v>
      </c>
      <c r="L41" s="66">
        <f t="shared" si="4"/>
        <v>0</v>
      </c>
      <c r="M41" s="13">
        <f>INDEX('PF Model'!$F$45:$K$45,1,$B41-2016)</f>
        <v>14036.041598276737</v>
      </c>
      <c r="N41" s="13">
        <f>INDEX('PF Model'!$G$44:$L$44,1,$B41-2016)</f>
        <v>-1095.2612138304023</v>
      </c>
      <c r="O41" s="66">
        <f t="shared" si="5"/>
        <v>13805.617790995479</v>
      </c>
      <c r="P41" s="13">
        <f>INDEX('PF Model'!$F$81:$K$81,1,$B41-2016)</f>
        <v>10783.729173890411</v>
      </c>
      <c r="Q41" s="13">
        <f>INDEX('PF Model'!$G$80:$L$80,1,$B41-2016)</f>
        <v>674.7846031529657</v>
      </c>
      <c r="R41" s="66">
        <f t="shared" si="6"/>
        <v>10925.692054881609</v>
      </c>
      <c r="S41" s="13">
        <v>926.73223217907105</v>
      </c>
      <c r="T41" s="166">
        <v>16636.423072756796</v>
      </c>
    </row>
    <row r="42" spans="1:20">
      <c r="A42" s="63">
        <v>43753</v>
      </c>
      <c r="B42">
        <f t="shared" si="0"/>
        <v>2020</v>
      </c>
      <c r="C42" s="68">
        <f t="shared" si="1"/>
        <v>0.29234972677595628</v>
      </c>
      <c r="D42" s="34">
        <f>INDEX('HB61'!$B$85:$G$85,1,B42-2016)</f>
        <v>242.14282261944618</v>
      </c>
      <c r="E42" s="34">
        <f>INDEX('HB61'!$B$16:$G$16,1,B42-2016)+INDEX('HB61'!$B$86:$G$86,1,B42-2016)+INDEX('HB61'!$B$87:$G$87,1,B42-2016)</f>
        <v>-2487.5</v>
      </c>
      <c r="F42" s="66">
        <f t="shared" si="2"/>
        <v>0</v>
      </c>
      <c r="G42" s="34">
        <f>INDEX('HB61'!$B$78:$G$78,1,$B42-2016)</f>
        <v>4310.1262965833066</v>
      </c>
      <c r="H42" s="34">
        <f>INDEX('HB61'!$B$76:$G$76,1,$B42-2016)+INDEX('HB61'!$B$79:$G$79,1,$B42-2016)+INDEX('HB61'!$B$80:$G$80,1,$B42-2016)</f>
        <v>-185.27996941718953</v>
      </c>
      <c r="I42" s="66">
        <f t="shared" si="3"/>
        <v>4255.9597481471337</v>
      </c>
      <c r="J42" s="34">
        <f>INDEX('HB61'!$B$93:$G$93,1,$B42-2016)</f>
        <v>242.14282261944618</v>
      </c>
      <c r="K42" s="34">
        <f>INDEX('HB61'!$B$92:$G$92,1,$B42-2016)+INDEX('HB61'!$B$94:$G$94,1,$B42-2016)+INDEX('HB61'!$B$95:$G$95,1,$B42-2016)</f>
        <v>-2487.5</v>
      </c>
      <c r="L42" s="66">
        <f t="shared" si="4"/>
        <v>0</v>
      </c>
      <c r="M42" s="13">
        <f>INDEX('PF Model'!$F$45:$K$45,1,$B42-2016)</f>
        <v>14036.041598276737</v>
      </c>
      <c r="N42" s="13">
        <f>INDEX('PF Model'!$G$44:$L$44,1,$B42-2016)</f>
        <v>-1095.2612138304023</v>
      </c>
      <c r="O42" s="66">
        <f t="shared" si="5"/>
        <v>13715.842281665116</v>
      </c>
      <c r="P42" s="13">
        <f>INDEX('PF Model'!$F$81:$K$81,1,$B42-2016)</f>
        <v>10783.729173890411</v>
      </c>
      <c r="Q42" s="13">
        <f>INDEX('PF Model'!$G$80:$L$80,1,$B42-2016)</f>
        <v>674.7846031529657</v>
      </c>
      <c r="R42" s="66">
        <f t="shared" si="6"/>
        <v>10981.002268254802</v>
      </c>
      <c r="S42" s="13">
        <v>730.44679206182525</v>
      </c>
      <c r="T42" s="166">
        <v>16811.793905556224</v>
      </c>
    </row>
    <row r="43" spans="1:20">
      <c r="A43" s="63">
        <v>43784</v>
      </c>
      <c r="B43">
        <f t="shared" si="0"/>
        <v>2020</v>
      </c>
      <c r="C43" s="68">
        <f t="shared" si="1"/>
        <v>0.37704918032786883</v>
      </c>
      <c r="D43" s="34">
        <f>INDEX('HB61'!$B$85:$G$85,1,B43-2016)</f>
        <v>242.14282261944618</v>
      </c>
      <c r="E43" s="34">
        <f>INDEX('HB61'!$B$16:$G$16,1,B43-2016)+INDEX('HB61'!$B$86:$G$86,1,B43-2016)+INDEX('HB61'!$B$87:$G$87,1,B43-2016)</f>
        <v>-2487.5</v>
      </c>
      <c r="F43" s="66">
        <f t="shared" si="2"/>
        <v>0</v>
      </c>
      <c r="G43" s="34">
        <f>INDEX('HB61'!$B$78:$G$78,1,$B43-2016)</f>
        <v>4310.1262965833066</v>
      </c>
      <c r="H43" s="34">
        <f>INDEX('HB61'!$B$76:$G$76,1,$B43-2016)+INDEX('HB61'!$B$79:$G$79,1,$B43-2016)+INDEX('HB61'!$B$80:$G$80,1,$B43-2016)</f>
        <v>-185.27996941718953</v>
      </c>
      <c r="I43" s="66">
        <f t="shared" si="3"/>
        <v>4240.2666359833829</v>
      </c>
      <c r="J43" s="34">
        <f>INDEX('HB61'!$B$93:$G$93,1,$B43-2016)</f>
        <v>242.14282261944618</v>
      </c>
      <c r="K43" s="34">
        <f>INDEX('HB61'!$B$92:$G$92,1,$B43-2016)+INDEX('HB61'!$B$94:$G$94,1,$B43-2016)+INDEX('HB61'!$B$95:$G$95,1,$B43-2016)</f>
        <v>-2487.5</v>
      </c>
      <c r="L43" s="66">
        <f t="shared" si="4"/>
        <v>0</v>
      </c>
      <c r="M43" s="13">
        <f>INDEX('PF Model'!$F$45:$K$45,1,$B43-2016)</f>
        <v>14036.041598276737</v>
      </c>
      <c r="N43" s="13">
        <f>INDEX('PF Model'!$G$44:$L$44,1,$B43-2016)</f>
        <v>-1095.2612138304023</v>
      </c>
      <c r="O43" s="66">
        <f t="shared" si="5"/>
        <v>13623.074255357078</v>
      </c>
      <c r="P43" s="13">
        <f>INDEX('PF Model'!$F$81:$K$81,1,$B43-2016)</f>
        <v>10783.729173890411</v>
      </c>
      <c r="Q43" s="13">
        <f>INDEX('PF Model'!$G$80:$L$80,1,$B43-2016)</f>
        <v>674.7846031529657</v>
      </c>
      <c r="R43" s="66">
        <f t="shared" si="6"/>
        <v>11038.156155407103</v>
      </c>
      <c r="S43" s="13">
        <v>527.61850394067119</v>
      </c>
      <c r="T43" s="166">
        <v>16993.010432782303</v>
      </c>
    </row>
    <row r="44" spans="1:20">
      <c r="A44" s="63">
        <v>43814</v>
      </c>
      <c r="B44">
        <f t="shared" si="0"/>
        <v>2020</v>
      </c>
      <c r="C44" s="68">
        <f t="shared" si="1"/>
        <v>0.45901639344262296</v>
      </c>
      <c r="D44" s="34">
        <f>INDEX('HB61'!$B$85:$G$85,1,B44-2016)</f>
        <v>242.14282261944618</v>
      </c>
      <c r="E44" s="34">
        <f>INDEX('HB61'!$B$16:$G$16,1,B44-2016)+INDEX('HB61'!$B$86:$G$86,1,B44-2016)+INDEX('HB61'!$B$87:$G$87,1,B44-2016)</f>
        <v>-2487.5</v>
      </c>
      <c r="F44" s="66">
        <f t="shared" si="2"/>
        <v>0</v>
      </c>
      <c r="G44" s="34">
        <f>INDEX('HB61'!$B$78:$G$78,1,$B44-2016)</f>
        <v>4310.1262965833066</v>
      </c>
      <c r="H44" s="34">
        <f>INDEX('HB61'!$B$76:$G$76,1,$B44-2016)+INDEX('HB61'!$B$79:$G$79,1,$B44-2016)+INDEX('HB61'!$B$80:$G$80,1,$B44-2016)</f>
        <v>-185.27996941718953</v>
      </c>
      <c r="I44" s="66">
        <f t="shared" si="3"/>
        <v>4225.0797532442684</v>
      </c>
      <c r="J44" s="34">
        <f>INDEX('HB61'!$B$93:$G$93,1,$B44-2016)</f>
        <v>242.14282261944618</v>
      </c>
      <c r="K44" s="34">
        <f>INDEX('HB61'!$B$92:$G$92,1,$B44-2016)+INDEX('HB61'!$B$94:$G$94,1,$B44-2016)+INDEX('HB61'!$B$95:$G$95,1,$B44-2016)</f>
        <v>-2487.5</v>
      </c>
      <c r="L44" s="66">
        <f t="shared" si="4"/>
        <v>0</v>
      </c>
      <c r="M44" s="13">
        <f>INDEX('PF Model'!$F$45:$K$45,1,$B44-2016)</f>
        <v>14036.041598276737</v>
      </c>
      <c r="N44" s="13">
        <f>INDEX('PF Model'!$G$44:$L$44,1,$B44-2016)</f>
        <v>-1095.2612138304023</v>
      </c>
      <c r="O44" s="66">
        <f t="shared" si="5"/>
        <v>13533.298746026716</v>
      </c>
      <c r="P44" s="13">
        <f>INDEX('PF Model'!$F$81:$K$81,1,$B44-2016)</f>
        <v>10783.729173890411</v>
      </c>
      <c r="Q44" s="13">
        <f>INDEX('PF Model'!$G$80:$L$80,1,$B44-2016)</f>
        <v>674.7846031529657</v>
      </c>
      <c r="R44" s="66">
        <f t="shared" si="6"/>
        <v>11093.466368780297</v>
      </c>
      <c r="S44" s="13">
        <v>331.33306382342516</v>
      </c>
      <c r="T44" s="166">
        <v>17168.381265581735</v>
      </c>
    </row>
    <row r="45" spans="1:20">
      <c r="A45" s="63">
        <v>43845</v>
      </c>
      <c r="B45">
        <f t="shared" si="0"/>
        <v>2020</v>
      </c>
      <c r="C45" s="68">
        <f t="shared" si="1"/>
        <v>0.54371584699453557</v>
      </c>
      <c r="D45" s="34">
        <f>INDEX('HB61'!$B$85:$G$85,1,B45-2016)</f>
        <v>242.14282261944618</v>
      </c>
      <c r="E45" s="34">
        <f>INDEX('HB61'!$B$16:$G$16,1,B45-2016)+INDEX('HB61'!$B$86:$G$86,1,B45-2016)+INDEX('HB61'!$B$87:$G$87,1,B45-2016)</f>
        <v>-2487.5</v>
      </c>
      <c r="F45" s="66">
        <f t="shared" si="2"/>
        <v>0</v>
      </c>
      <c r="G45" s="34">
        <f>INDEX('HB61'!$B$78:$G$78,1,$B45-2016)</f>
        <v>4310.1262965833066</v>
      </c>
      <c r="H45" s="34">
        <f>INDEX('HB61'!$B$76:$G$76,1,$B45-2016)+INDEX('HB61'!$B$79:$G$79,1,$B45-2016)+INDEX('HB61'!$B$80:$G$80,1,$B45-2016)</f>
        <v>-185.27996941718953</v>
      </c>
      <c r="I45" s="66">
        <f t="shared" si="3"/>
        <v>4209.3866410805176</v>
      </c>
      <c r="J45" s="34">
        <f>INDEX('HB61'!$B$93:$G$93,1,$B45-2016)</f>
        <v>242.14282261944618</v>
      </c>
      <c r="K45" s="34">
        <f>INDEX('HB61'!$B$92:$G$92,1,$B45-2016)+INDEX('HB61'!$B$94:$G$94,1,$B45-2016)+INDEX('HB61'!$B$95:$G$95,1,$B45-2016)</f>
        <v>-2487.5</v>
      </c>
      <c r="L45" s="66">
        <f t="shared" si="4"/>
        <v>0</v>
      </c>
      <c r="M45" s="13">
        <f>INDEX('PF Model'!$F$45:$K$45,1,$B45-2016)</f>
        <v>14036.041598276737</v>
      </c>
      <c r="N45" s="13">
        <f>INDEX('PF Model'!$G$44:$L$44,1,$B45-2016)</f>
        <v>-1095.2612138304023</v>
      </c>
      <c r="O45" s="66">
        <f t="shared" si="5"/>
        <v>13440.530719718678</v>
      </c>
      <c r="P45" s="13">
        <f>INDEX('PF Model'!$F$81:$K$81,1,$B45-2016)</f>
        <v>10783.729173890411</v>
      </c>
      <c r="Q45" s="13">
        <f>INDEX('PF Model'!$G$80:$L$80,1,$B45-2016)</f>
        <v>674.7846031529657</v>
      </c>
      <c r="R45" s="66">
        <f t="shared" si="6"/>
        <v>11150.620255932598</v>
      </c>
      <c r="S45" s="13">
        <v>128.50477570227099</v>
      </c>
      <c r="T45" s="166">
        <v>17349.597792807814</v>
      </c>
    </row>
    <row r="46" spans="1:20">
      <c r="A46" s="63">
        <v>43876</v>
      </c>
      <c r="B46">
        <f t="shared" si="0"/>
        <v>2020</v>
      </c>
      <c r="C46" s="68">
        <f t="shared" si="1"/>
        <v>0.62841530054644812</v>
      </c>
      <c r="D46" s="34">
        <f>INDEX('HB61'!$B$85:$G$85,1,B46-2016)</f>
        <v>242.14282261944618</v>
      </c>
      <c r="E46" s="34">
        <f>INDEX('HB61'!$B$16:$G$16,1,B46-2016)+INDEX('HB61'!$B$86:$G$86,1,B46-2016)+INDEX('HB61'!$B$87:$G$87,1,B46-2016)</f>
        <v>-2487.5</v>
      </c>
      <c r="F46" s="66">
        <f t="shared" si="2"/>
        <v>0</v>
      </c>
      <c r="G46" s="34">
        <f>INDEX('HB61'!$B$78:$G$78,1,$B46-2016)</f>
        <v>4310.1262965833066</v>
      </c>
      <c r="H46" s="34">
        <f>INDEX('HB61'!$B$76:$G$76,1,$B46-2016)+INDEX('HB61'!$B$79:$G$79,1,$B46-2016)+INDEX('HB61'!$B$80:$G$80,1,$B46-2016)</f>
        <v>-185.27996941718953</v>
      </c>
      <c r="I46" s="66">
        <f t="shared" si="3"/>
        <v>4193.6935289167668</v>
      </c>
      <c r="J46" s="34">
        <f>INDEX('HB61'!$B$93:$G$93,1,$B46-2016)</f>
        <v>242.14282261944618</v>
      </c>
      <c r="K46" s="34">
        <f>INDEX('HB61'!$B$92:$G$92,1,$B46-2016)+INDEX('HB61'!$B$94:$G$94,1,$B46-2016)+INDEX('HB61'!$B$95:$G$95,1,$B46-2016)</f>
        <v>-2487.5</v>
      </c>
      <c r="L46" s="66">
        <f t="shared" si="4"/>
        <v>0</v>
      </c>
      <c r="M46" s="13">
        <f>INDEX('PF Model'!$F$45:$K$45,1,$B46-2016)</f>
        <v>14036.041598276737</v>
      </c>
      <c r="N46" s="13">
        <f>INDEX('PF Model'!$G$44:$L$44,1,$B46-2016)</f>
        <v>-1095.2612138304023</v>
      </c>
      <c r="O46" s="66">
        <f t="shared" si="5"/>
        <v>13347.762693410637</v>
      </c>
      <c r="P46" s="13">
        <f>INDEX('PF Model'!$F$81:$K$81,1,$B46-2016)</f>
        <v>10783.729173890411</v>
      </c>
      <c r="Q46" s="13">
        <f>INDEX('PF Model'!$G$80:$L$80,1,$B46-2016)</f>
        <v>674.7846031529657</v>
      </c>
      <c r="R46" s="66">
        <f t="shared" si="6"/>
        <v>11207.774143084898</v>
      </c>
      <c r="S46" s="13">
        <v>0</v>
      </c>
      <c r="T46" s="166">
        <v>17530.814320033893</v>
      </c>
    </row>
    <row r="47" spans="1:20">
      <c r="A47" s="63">
        <v>43905</v>
      </c>
      <c r="B47">
        <f t="shared" si="0"/>
        <v>2020</v>
      </c>
      <c r="C47" s="68">
        <f t="shared" si="1"/>
        <v>0.70765027322404372</v>
      </c>
      <c r="D47" s="34">
        <f>INDEX('HB61'!$B$85:$G$85,1,B47-2016)</f>
        <v>242.14282261944618</v>
      </c>
      <c r="E47" s="34">
        <f>INDEX('HB61'!$B$16:$G$16,1,B47-2016)+INDEX('HB61'!$B$86:$G$86,1,B47-2016)+INDEX('HB61'!$B$87:$G$87,1,B47-2016)</f>
        <v>-2487.5</v>
      </c>
      <c r="F47" s="66">
        <f t="shared" si="2"/>
        <v>0</v>
      </c>
      <c r="G47" s="34">
        <f>INDEX('HB61'!$B$78:$G$78,1,$B47-2016)</f>
        <v>4310.1262965833066</v>
      </c>
      <c r="H47" s="34">
        <f>INDEX('HB61'!$B$76:$G$76,1,$B47-2016)+INDEX('HB61'!$B$79:$G$79,1,$B47-2016)+INDEX('HB61'!$B$80:$G$80,1,$B47-2016)</f>
        <v>-185.27996941718953</v>
      </c>
      <c r="I47" s="66">
        <f t="shared" si="3"/>
        <v>4179.0128756022896</v>
      </c>
      <c r="J47" s="34">
        <f>INDEX('HB61'!$B$93:$G$93,1,$B47-2016)</f>
        <v>242.14282261944618</v>
      </c>
      <c r="K47" s="34">
        <f>INDEX('HB61'!$B$92:$G$92,1,$B47-2016)+INDEX('HB61'!$B$94:$G$94,1,$B47-2016)+INDEX('HB61'!$B$95:$G$95,1,$B47-2016)</f>
        <v>-2487.5</v>
      </c>
      <c r="L47" s="66">
        <f t="shared" si="4"/>
        <v>0</v>
      </c>
      <c r="M47" s="13">
        <f>INDEX('PF Model'!$F$45:$K$45,1,$B47-2016)</f>
        <v>14036.041598276737</v>
      </c>
      <c r="N47" s="13">
        <f>INDEX('PF Model'!$G$44:$L$44,1,$B47-2016)</f>
        <v>-1095.2612138304023</v>
      </c>
      <c r="O47" s="66">
        <f t="shared" si="5"/>
        <v>13260.979701057955</v>
      </c>
      <c r="P47" s="13">
        <f>INDEX('PF Model'!$F$81:$K$81,1,$B47-2016)</f>
        <v>10783.729173890411</v>
      </c>
      <c r="Q47" s="13">
        <f>INDEX('PF Model'!$G$80:$L$80,1,$B47-2016)</f>
        <v>674.7846031529657</v>
      </c>
      <c r="R47" s="66">
        <f t="shared" si="6"/>
        <v>11261.240682678985</v>
      </c>
      <c r="S47" s="13">
        <v>0</v>
      </c>
      <c r="T47" s="166">
        <v>17700.339458406674</v>
      </c>
    </row>
    <row r="48" spans="1:20">
      <c r="A48" s="63">
        <v>43936</v>
      </c>
      <c r="B48">
        <f t="shared" si="0"/>
        <v>2020</v>
      </c>
      <c r="C48" s="68">
        <f t="shared" si="1"/>
        <v>0.79234972677595628</v>
      </c>
      <c r="D48" s="34">
        <f>INDEX('HB61'!$B$85:$G$85,1,B48-2016)</f>
        <v>242.14282261944618</v>
      </c>
      <c r="E48" s="34">
        <f>INDEX('HB61'!$B$16:$G$16,1,B48-2016)+INDEX('HB61'!$B$86:$G$86,1,B48-2016)+INDEX('HB61'!$B$87:$G$87,1,B48-2016)</f>
        <v>-2487.5</v>
      </c>
      <c r="F48" s="66">
        <f t="shared" si="2"/>
        <v>0</v>
      </c>
      <c r="G48" s="34">
        <f>INDEX('HB61'!$B$78:$G$78,1,$B48-2016)</f>
        <v>4310.1262965833066</v>
      </c>
      <c r="H48" s="34">
        <f>INDEX('HB61'!$B$76:$G$76,1,$B48-2016)+INDEX('HB61'!$B$79:$G$79,1,$B48-2016)+INDEX('HB61'!$B$80:$G$80,1,$B48-2016)</f>
        <v>-185.27996941718953</v>
      </c>
      <c r="I48" s="66">
        <f t="shared" si="3"/>
        <v>4163.3197634385388</v>
      </c>
      <c r="J48" s="34">
        <f>INDEX('HB61'!$B$93:$G$93,1,$B48-2016)</f>
        <v>242.14282261944618</v>
      </c>
      <c r="K48" s="34">
        <f>INDEX('HB61'!$B$92:$G$92,1,$B48-2016)+INDEX('HB61'!$B$94:$G$94,1,$B48-2016)+INDEX('HB61'!$B$95:$G$95,1,$B48-2016)</f>
        <v>-2487.5</v>
      </c>
      <c r="L48" s="66">
        <f t="shared" si="4"/>
        <v>0</v>
      </c>
      <c r="M48" s="13">
        <f>INDEX('PF Model'!$F$45:$K$45,1,$B48-2016)</f>
        <v>14036.041598276737</v>
      </c>
      <c r="N48" s="13">
        <f>INDEX('PF Model'!$G$44:$L$44,1,$B48-2016)</f>
        <v>-1095.2612138304023</v>
      </c>
      <c r="O48" s="66">
        <f t="shared" si="5"/>
        <v>13168.211674749915</v>
      </c>
      <c r="P48" s="13">
        <f>INDEX('PF Model'!$F$81:$K$81,1,$B48-2016)</f>
        <v>10783.729173890411</v>
      </c>
      <c r="Q48" s="13">
        <f>INDEX('PF Model'!$G$80:$L$80,1,$B48-2016)</f>
        <v>674.7846031529657</v>
      </c>
      <c r="R48" s="66">
        <f t="shared" si="6"/>
        <v>11318.394569831285</v>
      </c>
      <c r="S48" s="13">
        <v>0</v>
      </c>
      <c r="T48" s="166">
        <v>17881.555985632753</v>
      </c>
    </row>
    <row r="49" spans="1:20">
      <c r="A49" s="63">
        <v>43966</v>
      </c>
      <c r="B49">
        <f t="shared" si="0"/>
        <v>2020</v>
      </c>
      <c r="C49" s="68">
        <f t="shared" si="1"/>
        <v>0.87431693989071035</v>
      </c>
      <c r="D49" s="34">
        <f>INDEX('HB61'!$B$85:$G$85,1,B49-2016)</f>
        <v>242.14282261944618</v>
      </c>
      <c r="E49" s="34">
        <f>INDEX('HB61'!$B$16:$G$16,1,B49-2016)+INDEX('HB61'!$B$86:$G$86,1,B49-2016)+INDEX('HB61'!$B$87:$G$87,1,B49-2016)</f>
        <v>-2487.5</v>
      </c>
      <c r="F49" s="66">
        <f t="shared" si="2"/>
        <v>0</v>
      </c>
      <c r="G49" s="34">
        <f>INDEX('HB61'!$B$78:$G$78,1,$B49-2016)</f>
        <v>4310.1262965833066</v>
      </c>
      <c r="H49" s="34">
        <f>INDEX('HB61'!$B$76:$G$76,1,$B49-2016)+INDEX('HB61'!$B$79:$G$79,1,$B49-2016)+INDEX('HB61'!$B$80:$G$80,1,$B49-2016)</f>
        <v>-185.27996941718953</v>
      </c>
      <c r="I49" s="66">
        <f t="shared" si="3"/>
        <v>4148.1328806994252</v>
      </c>
      <c r="J49" s="34">
        <f>INDEX('HB61'!$B$93:$G$93,1,$B49-2016)</f>
        <v>242.14282261944618</v>
      </c>
      <c r="K49" s="34">
        <f>INDEX('HB61'!$B$92:$G$92,1,$B49-2016)+INDEX('HB61'!$B$94:$G$94,1,$B49-2016)+INDEX('HB61'!$B$95:$G$95,1,$B49-2016)</f>
        <v>-2487.5</v>
      </c>
      <c r="L49" s="66">
        <f t="shared" si="4"/>
        <v>0</v>
      </c>
      <c r="M49" s="13">
        <f>INDEX('PF Model'!$F$45:$K$45,1,$B49-2016)</f>
        <v>14036.041598276737</v>
      </c>
      <c r="N49" s="13">
        <f>INDEX('PF Model'!$G$44:$L$44,1,$B49-2016)</f>
        <v>-1095.2612138304023</v>
      </c>
      <c r="O49" s="66">
        <f t="shared" si="5"/>
        <v>13078.436165419555</v>
      </c>
      <c r="P49" s="13">
        <f>INDEX('PF Model'!$F$81:$K$81,1,$B49-2016)</f>
        <v>10783.729173890411</v>
      </c>
      <c r="Q49" s="13">
        <f>INDEX('PF Model'!$G$80:$L$80,1,$B49-2016)</f>
        <v>674.7846031529657</v>
      </c>
      <c r="R49" s="66">
        <f t="shared" si="6"/>
        <v>11373.704783204479</v>
      </c>
      <c r="S49" s="13">
        <v>0</v>
      </c>
      <c r="T49" s="166">
        <v>18056.926818432185</v>
      </c>
    </row>
    <row r="50" spans="1:20">
      <c r="A50" s="63">
        <v>43997</v>
      </c>
      <c r="B50">
        <f t="shared" si="0"/>
        <v>2020</v>
      </c>
      <c r="C50" s="68">
        <f t="shared" si="1"/>
        <v>0.95901639344262291</v>
      </c>
      <c r="D50" s="34">
        <f>INDEX('HB61'!$B$85:$G$85,1,B50-2016)</f>
        <v>242.14282261944618</v>
      </c>
      <c r="E50" s="34">
        <f>INDEX('HB61'!$B$16:$G$16,1,B50-2016)+INDEX('HB61'!$B$86:$G$86,1,B50-2016)+INDEX('HB61'!$B$87:$G$87,1,B50-2016)</f>
        <v>-2487.5</v>
      </c>
      <c r="F50" s="66">
        <f t="shared" si="2"/>
        <v>0</v>
      </c>
      <c r="G50" s="34">
        <f>INDEX('HB61'!$B$78:$G$78,1,$B50-2016)</f>
        <v>4310.1262965833066</v>
      </c>
      <c r="H50" s="34">
        <f>INDEX('HB61'!$B$76:$G$76,1,$B50-2016)+INDEX('HB61'!$B$79:$G$79,1,$B50-2016)+INDEX('HB61'!$B$80:$G$80,1,$B50-2016)</f>
        <v>-185.27996941718953</v>
      </c>
      <c r="I50" s="66">
        <f t="shared" si="3"/>
        <v>4132.4397685356744</v>
      </c>
      <c r="J50" s="34">
        <f>INDEX('HB61'!$B$93:$G$93,1,$B50-2016)</f>
        <v>242.14282261944618</v>
      </c>
      <c r="K50" s="34">
        <f>INDEX('HB61'!$B$92:$G$92,1,$B50-2016)+INDEX('HB61'!$B$94:$G$94,1,$B50-2016)+INDEX('HB61'!$B$95:$G$95,1,$B50-2016)</f>
        <v>-2487.5</v>
      </c>
      <c r="L50" s="66">
        <f t="shared" si="4"/>
        <v>0</v>
      </c>
      <c r="M50" s="13">
        <f>INDEX('PF Model'!$F$45:$K$45,1,$B50-2016)</f>
        <v>14036.041598276737</v>
      </c>
      <c r="N50" s="13">
        <f>INDEX('PF Model'!$G$44:$L$44,1,$B50-2016)</f>
        <v>-1095.2612138304023</v>
      </c>
      <c r="O50" s="66">
        <f t="shared" si="5"/>
        <v>12985.668139111516</v>
      </c>
      <c r="P50" s="13">
        <f>INDEX('PF Model'!$F$81:$K$81,1,$B50-2016)</f>
        <v>10783.729173890411</v>
      </c>
      <c r="Q50" s="13">
        <f>INDEX('PF Model'!$G$80:$L$80,1,$B50-2016)</f>
        <v>674.7846031529657</v>
      </c>
      <c r="R50" s="66">
        <f t="shared" si="6"/>
        <v>11430.85867035678</v>
      </c>
      <c r="S50" s="13">
        <v>0</v>
      </c>
      <c r="T50" s="166">
        <v>18238.143345658264</v>
      </c>
    </row>
    <row r="51" spans="1:20">
      <c r="A51" s="63">
        <v>44027</v>
      </c>
      <c r="B51">
        <f t="shared" si="0"/>
        <v>2021</v>
      </c>
      <c r="C51" s="68">
        <f t="shared" si="1"/>
        <v>4.1095890410958902E-2</v>
      </c>
      <c r="D51" s="34">
        <f>INDEX('HB61'!$B$85:$G$85,1,B51-2016)</f>
        <v>0</v>
      </c>
      <c r="E51" s="34">
        <f>INDEX('HB61'!$B$16:$G$16,1,B51-2016)+INDEX('HB61'!$B$86:$G$86,1,B51-2016)+INDEX('HB61'!$B$87:$G$87,1,B51-2016)</f>
        <v>-2505</v>
      </c>
      <c r="F51" s="66">
        <f t="shared" si="2"/>
        <v>0</v>
      </c>
      <c r="G51" s="34">
        <f>INDEX('HB61'!$B$78:$G$78,1,$B51-2016)</f>
        <v>4124.8463271661167</v>
      </c>
      <c r="H51" s="34">
        <f>INDEX('HB61'!$B$76:$G$76,1,$B51-2016)+INDEX('HB61'!$B$79:$G$79,1,$B51-2016)+INDEX('HB61'!$B$80:$G$80,1,$B51-2016)</f>
        <v>-136.6036293839872</v>
      </c>
      <c r="I51" s="66">
        <f t="shared" si="3"/>
        <v>4119.2324793832131</v>
      </c>
      <c r="J51" s="34">
        <f>INDEX('HB61'!$B$93:$G$93,1,$B51-2016)</f>
        <v>0</v>
      </c>
      <c r="K51" s="34">
        <f>INDEX('HB61'!$B$92:$G$92,1,$B51-2016)+INDEX('HB61'!$B$94:$G$94,1,$B51-2016)+INDEX('HB61'!$B$95:$G$95,1,$B51-2016)</f>
        <v>-2505</v>
      </c>
      <c r="L51" s="66">
        <f t="shared" si="4"/>
        <v>0</v>
      </c>
      <c r="M51" s="13">
        <f>INDEX('PF Model'!$F$45:$K$45,1,$B51-2016)</f>
        <v>12940.780384446334</v>
      </c>
      <c r="N51" s="13">
        <f>INDEX('PF Model'!$G$44:$L$44,1,$B51-2016)</f>
        <v>-1485.0511136010025</v>
      </c>
      <c r="O51" s="66">
        <f t="shared" si="5"/>
        <v>12879.750886627115</v>
      </c>
      <c r="P51" s="13">
        <f>INDEX('PF Model'!$F$81:$K$81,1,$B51-2016)</f>
        <v>11458.513777043378</v>
      </c>
      <c r="Q51" s="13">
        <f>INDEX('PF Model'!$G$80:$L$80,1,$B51-2016)</f>
        <v>293.08819828553078</v>
      </c>
      <c r="R51" s="66">
        <f t="shared" si="6"/>
        <v>11470.558497520866</v>
      </c>
      <c r="S51" s="13">
        <v>0</v>
      </c>
      <c r="T51" s="166">
        <v>18363.325031432709</v>
      </c>
    </row>
    <row r="52" spans="1:20">
      <c r="A52" s="63">
        <v>44058</v>
      </c>
      <c r="B52">
        <f t="shared" si="0"/>
        <v>2021</v>
      </c>
      <c r="C52" s="68">
        <f t="shared" si="1"/>
        <v>0.12602739726027398</v>
      </c>
      <c r="D52" s="34">
        <f>INDEX('HB61'!$B$85:$G$85,1,B52-2016)</f>
        <v>0</v>
      </c>
      <c r="E52" s="34">
        <f>INDEX('HB61'!$B$16:$G$16,1,B52-2016)+INDEX('HB61'!$B$86:$G$86,1,B52-2016)+INDEX('HB61'!$B$87:$G$87,1,B52-2016)</f>
        <v>-2505</v>
      </c>
      <c r="F52" s="66">
        <f t="shared" si="2"/>
        <v>0</v>
      </c>
      <c r="G52" s="34">
        <f>INDEX('HB61'!$B$78:$G$78,1,$B52-2016)</f>
        <v>4124.8463271661167</v>
      </c>
      <c r="H52" s="34">
        <f>INDEX('HB61'!$B$76:$G$76,1,$B52-2016)+INDEX('HB61'!$B$79:$G$79,1,$B52-2016)+INDEX('HB61'!$B$80:$G$80,1,$B52-2016)</f>
        <v>-136.6036293839872</v>
      </c>
      <c r="I52" s="66">
        <f t="shared" si="3"/>
        <v>4107.6305272985455</v>
      </c>
      <c r="J52" s="34">
        <f>INDEX('HB61'!$B$93:$G$93,1,$B52-2016)</f>
        <v>0</v>
      </c>
      <c r="K52" s="34">
        <f>INDEX('HB61'!$B$92:$G$92,1,$B52-2016)+INDEX('HB61'!$B$94:$G$94,1,$B52-2016)+INDEX('HB61'!$B$95:$G$95,1,$B52-2016)</f>
        <v>-2505</v>
      </c>
      <c r="L52" s="66">
        <f t="shared" si="4"/>
        <v>0</v>
      </c>
      <c r="M52" s="13">
        <f>INDEX('PF Model'!$F$45:$K$45,1,$B52-2016)</f>
        <v>12940.780384446334</v>
      </c>
      <c r="N52" s="13">
        <f>INDEX('PF Model'!$G$44:$L$44,1,$B52-2016)</f>
        <v>-1485.0511136010025</v>
      </c>
      <c r="O52" s="66">
        <f t="shared" si="5"/>
        <v>12753.623257800728</v>
      </c>
      <c r="P52" s="13">
        <f>INDEX('PF Model'!$F$81:$K$81,1,$B52-2016)</f>
        <v>11458.513777043378</v>
      </c>
      <c r="Q52" s="13">
        <f>INDEX('PF Model'!$G$80:$L$80,1,$B52-2016)</f>
        <v>293.08819828553078</v>
      </c>
      <c r="R52" s="66">
        <f t="shared" si="6"/>
        <v>11495.450919841007</v>
      </c>
      <c r="S52" s="13">
        <v>0</v>
      </c>
      <c r="T52" s="166">
        <v>18440.817321473813</v>
      </c>
    </row>
    <row r="53" spans="1:20">
      <c r="A53" s="63">
        <v>44089</v>
      </c>
      <c r="B53">
        <f t="shared" si="0"/>
        <v>2021</v>
      </c>
      <c r="C53" s="68">
        <f t="shared" si="1"/>
        <v>0.21095890410958903</v>
      </c>
      <c r="D53" s="34">
        <f>INDEX('HB61'!$B$85:$G$85,1,B53-2016)</f>
        <v>0</v>
      </c>
      <c r="E53" s="34">
        <f>INDEX('HB61'!$B$16:$G$16,1,B53-2016)+INDEX('HB61'!$B$86:$G$86,1,B53-2016)+INDEX('HB61'!$B$87:$G$87,1,B53-2016)</f>
        <v>-2505</v>
      </c>
      <c r="F53" s="66">
        <f t="shared" si="2"/>
        <v>0</v>
      </c>
      <c r="G53" s="34">
        <f>INDEX('HB61'!$B$78:$G$78,1,$B53-2016)</f>
        <v>4124.8463271661167</v>
      </c>
      <c r="H53" s="34">
        <f>INDEX('HB61'!$B$76:$G$76,1,$B53-2016)+INDEX('HB61'!$B$79:$G$79,1,$B53-2016)+INDEX('HB61'!$B$80:$G$80,1,$B53-2016)</f>
        <v>-136.6036293839872</v>
      </c>
      <c r="I53" s="66">
        <f t="shared" si="3"/>
        <v>4096.028575213878</v>
      </c>
      <c r="J53" s="34">
        <f>INDEX('HB61'!$B$93:$G$93,1,$B53-2016)</f>
        <v>0</v>
      </c>
      <c r="K53" s="34">
        <f>INDEX('HB61'!$B$92:$G$92,1,$B53-2016)+INDEX('HB61'!$B$94:$G$94,1,$B53-2016)+INDEX('HB61'!$B$95:$G$95,1,$B53-2016)</f>
        <v>-2505</v>
      </c>
      <c r="L53" s="66">
        <f t="shared" si="4"/>
        <v>0</v>
      </c>
      <c r="M53" s="13">
        <f>INDEX('PF Model'!$F$45:$K$45,1,$B53-2016)</f>
        <v>12940.780384446334</v>
      </c>
      <c r="N53" s="13">
        <f>INDEX('PF Model'!$G$44:$L$44,1,$B53-2016)</f>
        <v>-1485.0511136010025</v>
      </c>
      <c r="O53" s="66">
        <f t="shared" si="5"/>
        <v>12627.495628974342</v>
      </c>
      <c r="P53" s="13">
        <f>INDEX('PF Model'!$F$81:$K$81,1,$B53-2016)</f>
        <v>11458.513777043378</v>
      </c>
      <c r="Q53" s="13">
        <f>INDEX('PF Model'!$G$80:$L$80,1,$B53-2016)</f>
        <v>293.08819828553078</v>
      </c>
      <c r="R53" s="66">
        <f t="shared" si="6"/>
        <v>11520.343342161146</v>
      </c>
      <c r="S53" s="13">
        <v>0</v>
      </c>
      <c r="T53" s="166">
        <v>18518.30961151492</v>
      </c>
    </row>
    <row r="54" spans="1:20">
      <c r="A54" s="63">
        <v>44119</v>
      </c>
      <c r="B54">
        <f t="shared" si="0"/>
        <v>2021</v>
      </c>
      <c r="C54" s="68">
        <f t="shared" si="1"/>
        <v>0.29315068493150687</v>
      </c>
      <c r="D54" s="34">
        <f>INDEX('HB61'!$B$85:$G$85,1,B54-2016)</f>
        <v>0</v>
      </c>
      <c r="E54" s="34">
        <f>INDEX('HB61'!$B$16:$G$16,1,B54-2016)+INDEX('HB61'!$B$86:$G$86,1,B54-2016)+INDEX('HB61'!$B$87:$G$87,1,B54-2016)</f>
        <v>-2505</v>
      </c>
      <c r="F54" s="66">
        <f t="shared" si="2"/>
        <v>0</v>
      </c>
      <c r="G54" s="34">
        <f>INDEX('HB61'!$B$78:$G$78,1,$B54-2016)</f>
        <v>4124.8463271661167</v>
      </c>
      <c r="H54" s="34">
        <f>INDEX('HB61'!$B$76:$G$76,1,$B54-2016)+INDEX('HB61'!$B$79:$G$79,1,$B54-2016)+INDEX('HB61'!$B$80:$G$80,1,$B54-2016)</f>
        <v>-136.6036293839872</v>
      </c>
      <c r="I54" s="66">
        <f t="shared" si="3"/>
        <v>4084.8008796480713</v>
      </c>
      <c r="J54" s="34">
        <f>INDEX('HB61'!$B$93:$G$93,1,$B54-2016)</f>
        <v>0</v>
      </c>
      <c r="K54" s="34">
        <f>INDEX('HB61'!$B$92:$G$92,1,$B54-2016)+INDEX('HB61'!$B$94:$G$94,1,$B54-2016)+INDEX('HB61'!$B$95:$G$95,1,$B54-2016)</f>
        <v>-2505</v>
      </c>
      <c r="L54" s="66">
        <f t="shared" si="4"/>
        <v>0</v>
      </c>
      <c r="M54" s="13">
        <f>INDEX('PF Model'!$F$45:$K$45,1,$B54-2016)</f>
        <v>12940.780384446334</v>
      </c>
      <c r="N54" s="13">
        <f>INDEX('PF Model'!$G$44:$L$44,1,$B54-2016)</f>
        <v>-1485.0511136010025</v>
      </c>
      <c r="O54" s="66">
        <f t="shared" si="5"/>
        <v>12505.436633335903</v>
      </c>
      <c r="P54" s="13">
        <f>INDEX('PF Model'!$F$81:$K$81,1,$B54-2016)</f>
        <v>11458.513777043378</v>
      </c>
      <c r="Q54" s="13">
        <f>INDEX('PF Model'!$G$80:$L$80,1,$B54-2016)</f>
        <v>293.08819828553078</v>
      </c>
      <c r="R54" s="66">
        <f t="shared" si="6"/>
        <v>11544.432783116123</v>
      </c>
      <c r="S54" s="13">
        <v>0</v>
      </c>
      <c r="T54" s="166">
        <v>18593.302150264375</v>
      </c>
    </row>
    <row r="55" spans="1:20">
      <c r="A55" s="63">
        <v>44150</v>
      </c>
      <c r="B55">
        <f t="shared" si="0"/>
        <v>2021</v>
      </c>
      <c r="C55" s="68">
        <f t="shared" si="1"/>
        <v>0.37808219178082192</v>
      </c>
      <c r="D55" s="34">
        <f>INDEX('HB61'!$B$85:$G$85,1,B55-2016)</f>
        <v>0</v>
      </c>
      <c r="E55" s="34">
        <f>INDEX('HB61'!$B$16:$G$16,1,B55-2016)+INDEX('HB61'!$B$86:$G$86,1,B55-2016)+INDEX('HB61'!$B$87:$G$87,1,B55-2016)</f>
        <v>-2505</v>
      </c>
      <c r="F55" s="66">
        <f t="shared" si="2"/>
        <v>0</v>
      </c>
      <c r="G55" s="34">
        <f>INDEX('HB61'!$B$78:$G$78,1,$B55-2016)</f>
        <v>4124.8463271661167</v>
      </c>
      <c r="H55" s="34">
        <f>INDEX('HB61'!$B$76:$G$76,1,$B55-2016)+INDEX('HB61'!$B$79:$G$79,1,$B55-2016)+INDEX('HB61'!$B$80:$G$80,1,$B55-2016)</f>
        <v>-136.6036293839872</v>
      </c>
      <c r="I55" s="66">
        <f t="shared" si="3"/>
        <v>4073.1989275634037</v>
      </c>
      <c r="J55" s="34">
        <f>INDEX('HB61'!$B$93:$G$93,1,$B55-2016)</f>
        <v>0</v>
      </c>
      <c r="K55" s="34">
        <f>INDEX('HB61'!$B$92:$G$92,1,$B55-2016)+INDEX('HB61'!$B$94:$G$94,1,$B55-2016)+INDEX('HB61'!$B$95:$G$95,1,$B55-2016)</f>
        <v>-2505</v>
      </c>
      <c r="L55" s="66">
        <f t="shared" si="4"/>
        <v>0</v>
      </c>
      <c r="M55" s="13">
        <f>INDEX('PF Model'!$F$45:$K$45,1,$B55-2016)</f>
        <v>12940.780384446334</v>
      </c>
      <c r="N55" s="13">
        <f>INDEX('PF Model'!$G$44:$L$44,1,$B55-2016)</f>
        <v>-1485.0511136010025</v>
      </c>
      <c r="O55" s="66">
        <f t="shared" si="5"/>
        <v>12379.309004509516</v>
      </c>
      <c r="P55" s="13">
        <f>INDEX('PF Model'!$F$81:$K$81,1,$B55-2016)</f>
        <v>11458.513777043378</v>
      </c>
      <c r="Q55" s="13">
        <f>INDEX('PF Model'!$G$80:$L$80,1,$B55-2016)</f>
        <v>293.08819828553078</v>
      </c>
      <c r="R55" s="66">
        <f t="shared" si="6"/>
        <v>11569.325205436264</v>
      </c>
      <c r="S55" s="13">
        <v>0</v>
      </c>
      <c r="T55" s="166">
        <v>18670.794440305483</v>
      </c>
    </row>
    <row r="56" spans="1:20">
      <c r="A56" s="63">
        <v>44180</v>
      </c>
      <c r="B56">
        <f t="shared" si="0"/>
        <v>2021</v>
      </c>
      <c r="C56" s="68">
        <f t="shared" si="1"/>
        <v>0.46027397260273972</v>
      </c>
      <c r="D56" s="34">
        <f>INDEX('HB61'!$B$85:$G$85,1,B56-2016)</f>
        <v>0</v>
      </c>
      <c r="E56" s="34">
        <f>INDEX('HB61'!$B$16:$G$16,1,B56-2016)+INDEX('HB61'!$B$86:$G$86,1,B56-2016)+INDEX('HB61'!$B$87:$G$87,1,B56-2016)</f>
        <v>-2505</v>
      </c>
      <c r="F56" s="66">
        <f t="shared" si="2"/>
        <v>0</v>
      </c>
      <c r="G56" s="34">
        <f>INDEX('HB61'!$B$78:$G$78,1,$B56-2016)</f>
        <v>4124.8463271661167</v>
      </c>
      <c r="H56" s="34">
        <f>INDEX('HB61'!$B$76:$G$76,1,$B56-2016)+INDEX('HB61'!$B$79:$G$79,1,$B56-2016)+INDEX('HB61'!$B$80:$G$80,1,$B56-2016)</f>
        <v>-136.6036293839872</v>
      </c>
      <c r="I56" s="66">
        <f t="shared" si="3"/>
        <v>4061.9712319975965</v>
      </c>
      <c r="J56" s="34">
        <f>INDEX('HB61'!$B$93:$G$93,1,$B56-2016)</f>
        <v>0</v>
      </c>
      <c r="K56" s="34">
        <f>INDEX('HB61'!$B$92:$G$92,1,$B56-2016)+INDEX('HB61'!$B$94:$G$94,1,$B56-2016)+INDEX('HB61'!$B$95:$G$95,1,$B56-2016)</f>
        <v>-2505</v>
      </c>
      <c r="L56" s="66">
        <f t="shared" si="4"/>
        <v>0</v>
      </c>
      <c r="M56" s="13">
        <f>INDEX('PF Model'!$F$45:$K$45,1,$B56-2016)</f>
        <v>12940.780384446334</v>
      </c>
      <c r="N56" s="13">
        <f>INDEX('PF Model'!$G$44:$L$44,1,$B56-2016)</f>
        <v>-1485.0511136010025</v>
      </c>
      <c r="O56" s="66">
        <f t="shared" si="5"/>
        <v>12257.250008871079</v>
      </c>
      <c r="P56" s="13">
        <f>INDEX('PF Model'!$F$81:$K$81,1,$B56-2016)</f>
        <v>11458.513777043378</v>
      </c>
      <c r="Q56" s="13">
        <f>INDEX('PF Model'!$G$80:$L$80,1,$B56-2016)</f>
        <v>293.08819828553078</v>
      </c>
      <c r="R56" s="66">
        <f t="shared" si="6"/>
        <v>11593.414646391238</v>
      </c>
      <c r="S56" s="13">
        <v>0</v>
      </c>
      <c r="T56" s="166">
        <v>18745.786979054938</v>
      </c>
    </row>
    <row r="57" spans="1:20">
      <c r="A57" s="63">
        <v>44211</v>
      </c>
      <c r="B57">
        <f t="shared" si="0"/>
        <v>2021</v>
      </c>
      <c r="C57" s="68">
        <f t="shared" si="1"/>
        <v>0.54520547945205478</v>
      </c>
      <c r="D57" s="34">
        <f>INDEX('HB61'!$B$85:$G$85,1,B57-2016)</f>
        <v>0</v>
      </c>
      <c r="E57" s="34">
        <f>INDEX('HB61'!$B$16:$G$16,1,B57-2016)+INDEX('HB61'!$B$86:$G$86,1,B57-2016)+INDEX('HB61'!$B$87:$G$87,1,B57-2016)</f>
        <v>-2505</v>
      </c>
      <c r="F57" s="66">
        <f t="shared" si="2"/>
        <v>0</v>
      </c>
      <c r="G57" s="34">
        <f>INDEX('HB61'!$B$78:$G$78,1,$B57-2016)</f>
        <v>4124.8463271661167</v>
      </c>
      <c r="H57" s="34">
        <f>INDEX('HB61'!$B$76:$G$76,1,$B57-2016)+INDEX('HB61'!$B$79:$G$79,1,$B57-2016)+INDEX('HB61'!$B$80:$G$80,1,$B57-2016)</f>
        <v>-136.6036293839872</v>
      </c>
      <c r="I57" s="66">
        <f t="shared" si="3"/>
        <v>4050.369279912929</v>
      </c>
      <c r="J57" s="34">
        <f>INDEX('HB61'!$B$93:$G$93,1,$B57-2016)</f>
        <v>0</v>
      </c>
      <c r="K57" s="34">
        <f>INDEX('HB61'!$B$92:$G$92,1,$B57-2016)+INDEX('HB61'!$B$94:$G$94,1,$B57-2016)+INDEX('HB61'!$B$95:$G$95,1,$B57-2016)</f>
        <v>-2505</v>
      </c>
      <c r="L57" s="66">
        <f t="shared" si="4"/>
        <v>0</v>
      </c>
      <c r="M57" s="13">
        <f>INDEX('PF Model'!$F$45:$K$45,1,$B57-2016)</f>
        <v>12940.780384446334</v>
      </c>
      <c r="N57" s="13">
        <f>INDEX('PF Model'!$G$44:$L$44,1,$B57-2016)</f>
        <v>-1485.0511136010025</v>
      </c>
      <c r="O57" s="66">
        <f t="shared" si="5"/>
        <v>12131.122380044691</v>
      </c>
      <c r="P57" s="13">
        <f>INDEX('PF Model'!$F$81:$K$81,1,$B57-2016)</f>
        <v>11458.513777043378</v>
      </c>
      <c r="Q57" s="13">
        <f>INDEX('PF Model'!$G$80:$L$80,1,$B57-2016)</f>
        <v>293.08819828553078</v>
      </c>
      <c r="R57" s="66">
        <f t="shared" si="6"/>
        <v>11618.30706871138</v>
      </c>
      <c r="S57" s="13">
        <v>0</v>
      </c>
      <c r="T57" s="166">
        <v>18823.279269096045</v>
      </c>
    </row>
    <row r="58" spans="1:20">
      <c r="A58" s="63">
        <v>44242</v>
      </c>
      <c r="B58">
        <f t="shared" si="0"/>
        <v>2021</v>
      </c>
      <c r="C58" s="68">
        <f t="shared" si="1"/>
        <v>0.63013698630136983</v>
      </c>
      <c r="D58" s="34">
        <f>INDEX('HB61'!$B$85:$G$85,1,B58-2016)</f>
        <v>0</v>
      </c>
      <c r="E58" s="34">
        <f>INDEX('HB61'!$B$16:$G$16,1,B58-2016)+INDEX('HB61'!$B$86:$G$86,1,B58-2016)+INDEX('HB61'!$B$87:$G$87,1,B58-2016)</f>
        <v>-2505</v>
      </c>
      <c r="F58" s="66">
        <f t="shared" si="2"/>
        <v>0</v>
      </c>
      <c r="G58" s="34">
        <f>INDEX('HB61'!$B$78:$G$78,1,$B58-2016)</f>
        <v>4124.8463271661167</v>
      </c>
      <c r="H58" s="34">
        <f>INDEX('HB61'!$B$76:$G$76,1,$B58-2016)+INDEX('HB61'!$B$79:$G$79,1,$B58-2016)+INDEX('HB61'!$B$80:$G$80,1,$B58-2016)</f>
        <v>-136.6036293839872</v>
      </c>
      <c r="I58" s="66">
        <f t="shared" si="3"/>
        <v>4038.7673278282618</v>
      </c>
      <c r="J58" s="34">
        <f>INDEX('HB61'!$B$93:$G$93,1,$B58-2016)</f>
        <v>0</v>
      </c>
      <c r="K58" s="34">
        <f>INDEX('HB61'!$B$92:$G$92,1,$B58-2016)+INDEX('HB61'!$B$94:$G$94,1,$B58-2016)+INDEX('HB61'!$B$95:$G$95,1,$B58-2016)</f>
        <v>-2505</v>
      </c>
      <c r="L58" s="66">
        <f t="shared" si="4"/>
        <v>0</v>
      </c>
      <c r="M58" s="13">
        <f>INDEX('PF Model'!$F$45:$K$45,1,$B58-2016)</f>
        <v>12940.780384446334</v>
      </c>
      <c r="N58" s="13">
        <f>INDEX('PF Model'!$G$44:$L$44,1,$B58-2016)</f>
        <v>-1485.0511136010025</v>
      </c>
      <c r="O58" s="66">
        <f t="shared" si="5"/>
        <v>12004.994751218306</v>
      </c>
      <c r="P58" s="13">
        <f>INDEX('PF Model'!$F$81:$K$81,1,$B58-2016)</f>
        <v>11458.513777043378</v>
      </c>
      <c r="Q58" s="13">
        <f>INDEX('PF Model'!$G$80:$L$80,1,$B58-2016)</f>
        <v>293.08819828553078</v>
      </c>
      <c r="R58" s="66">
        <f t="shared" si="6"/>
        <v>11643.199491031521</v>
      </c>
      <c r="S58" s="13">
        <v>0</v>
      </c>
      <c r="T58" s="166">
        <v>18900.771559137149</v>
      </c>
    </row>
    <row r="59" spans="1:20">
      <c r="A59" s="63">
        <v>44270</v>
      </c>
      <c r="B59">
        <f t="shared" si="0"/>
        <v>2021</v>
      </c>
      <c r="C59" s="68">
        <f t="shared" si="1"/>
        <v>0.70684931506849313</v>
      </c>
      <c r="D59" s="34">
        <f>INDEX('HB61'!$B$85:$G$85,1,B59-2016)</f>
        <v>0</v>
      </c>
      <c r="E59" s="34">
        <f>INDEX('HB61'!$B$16:$G$16,1,B59-2016)+INDEX('HB61'!$B$86:$G$86,1,B59-2016)+INDEX('HB61'!$B$87:$G$87,1,B59-2016)</f>
        <v>-2505</v>
      </c>
      <c r="F59" s="66">
        <f t="shared" si="2"/>
        <v>0</v>
      </c>
      <c r="G59" s="34">
        <f>INDEX('HB61'!$B$78:$G$78,1,$B59-2016)</f>
        <v>4124.8463271661167</v>
      </c>
      <c r="H59" s="34">
        <f>INDEX('HB61'!$B$76:$G$76,1,$B59-2016)+INDEX('HB61'!$B$79:$G$79,1,$B59-2016)+INDEX('HB61'!$B$80:$G$80,1,$B59-2016)</f>
        <v>-136.6036293839872</v>
      </c>
      <c r="I59" s="66">
        <f t="shared" si="3"/>
        <v>4028.2881453001751</v>
      </c>
      <c r="J59" s="34">
        <f>INDEX('HB61'!$B$93:$G$93,1,$B59-2016)</f>
        <v>0</v>
      </c>
      <c r="K59" s="34">
        <f>INDEX('HB61'!$B$92:$G$92,1,$B59-2016)+INDEX('HB61'!$B$94:$G$94,1,$B59-2016)+INDEX('HB61'!$B$95:$G$95,1,$B59-2016)</f>
        <v>-2505</v>
      </c>
      <c r="L59" s="66">
        <f t="shared" si="4"/>
        <v>0</v>
      </c>
      <c r="M59" s="13">
        <f>INDEX('PF Model'!$F$45:$K$45,1,$B59-2016)</f>
        <v>12940.780384446334</v>
      </c>
      <c r="N59" s="13">
        <f>INDEX('PF Model'!$G$44:$L$44,1,$B59-2016)</f>
        <v>-1485.0511136010025</v>
      </c>
      <c r="O59" s="66">
        <f t="shared" si="5"/>
        <v>11891.073021955763</v>
      </c>
      <c r="P59" s="13">
        <f>INDEX('PF Model'!$F$81:$K$81,1,$B59-2016)</f>
        <v>11458.513777043378</v>
      </c>
      <c r="Q59" s="13">
        <f>INDEX('PF Model'!$G$80:$L$80,1,$B59-2016)</f>
        <v>293.08819828553078</v>
      </c>
      <c r="R59" s="66">
        <f t="shared" si="6"/>
        <v>11665.682969256164</v>
      </c>
      <c r="S59" s="13">
        <v>0</v>
      </c>
      <c r="T59" s="166">
        <v>18970.76459530331</v>
      </c>
    </row>
    <row r="60" spans="1:20">
      <c r="A60" s="63">
        <v>44301</v>
      </c>
      <c r="B60">
        <f t="shared" si="0"/>
        <v>2021</v>
      </c>
      <c r="C60" s="68">
        <f t="shared" si="1"/>
        <v>0.79178082191780819</v>
      </c>
      <c r="D60" s="34">
        <f>INDEX('HB61'!$B$85:$G$85,1,B60-2016)</f>
        <v>0</v>
      </c>
      <c r="E60" s="34">
        <f>INDEX('HB61'!$B$16:$G$16,1,B60-2016)+INDEX('HB61'!$B$86:$G$86,1,B60-2016)+INDEX('HB61'!$B$87:$G$87,1,B60-2016)</f>
        <v>-2505</v>
      </c>
      <c r="F60" s="66">
        <f t="shared" si="2"/>
        <v>0</v>
      </c>
      <c r="G60" s="34">
        <f>INDEX('HB61'!$B$78:$G$78,1,$B60-2016)</f>
        <v>4124.8463271661167</v>
      </c>
      <c r="H60" s="34">
        <f>INDEX('HB61'!$B$76:$G$76,1,$B60-2016)+INDEX('HB61'!$B$79:$G$79,1,$B60-2016)+INDEX('HB61'!$B$80:$G$80,1,$B60-2016)</f>
        <v>-136.6036293839872</v>
      </c>
      <c r="I60" s="66">
        <f t="shared" si="3"/>
        <v>4016.6861932155075</v>
      </c>
      <c r="J60" s="34">
        <f>INDEX('HB61'!$B$93:$G$93,1,$B60-2016)</f>
        <v>0</v>
      </c>
      <c r="K60" s="34">
        <f>INDEX('HB61'!$B$92:$G$92,1,$B60-2016)+INDEX('HB61'!$B$94:$G$94,1,$B60-2016)+INDEX('HB61'!$B$95:$G$95,1,$B60-2016)</f>
        <v>-2505</v>
      </c>
      <c r="L60" s="66">
        <f t="shared" si="4"/>
        <v>0</v>
      </c>
      <c r="M60" s="13">
        <f>INDEX('PF Model'!$F$45:$K$45,1,$B60-2016)</f>
        <v>12940.780384446334</v>
      </c>
      <c r="N60" s="13">
        <f>INDEX('PF Model'!$G$44:$L$44,1,$B60-2016)</f>
        <v>-1485.0511136010025</v>
      </c>
      <c r="O60" s="66">
        <f t="shared" si="5"/>
        <v>11764.945393129376</v>
      </c>
      <c r="P60" s="13">
        <f>INDEX('PF Model'!$F$81:$K$81,1,$B60-2016)</f>
        <v>11458.513777043378</v>
      </c>
      <c r="Q60" s="13">
        <f>INDEX('PF Model'!$G$80:$L$80,1,$B60-2016)</f>
        <v>293.08819828553078</v>
      </c>
      <c r="R60" s="66">
        <f t="shared" si="6"/>
        <v>11690.575391576305</v>
      </c>
      <c r="S60" s="13">
        <v>0</v>
      </c>
      <c r="T60" s="166">
        <v>19048.256885344414</v>
      </c>
    </row>
    <row r="61" spans="1:20">
      <c r="A61" s="63">
        <v>44331</v>
      </c>
      <c r="B61">
        <f t="shared" si="0"/>
        <v>2021</v>
      </c>
      <c r="C61" s="68">
        <f t="shared" si="1"/>
        <v>0.87397260273972599</v>
      </c>
      <c r="D61" s="34">
        <f>INDEX('HB61'!$B$85:$G$85,1,B61-2016)</f>
        <v>0</v>
      </c>
      <c r="E61" s="34">
        <f>INDEX('HB61'!$B$16:$G$16,1,B61-2016)+INDEX('HB61'!$B$86:$G$86,1,B61-2016)+INDEX('HB61'!$B$87:$G$87,1,B61-2016)</f>
        <v>-2505</v>
      </c>
      <c r="F61" s="66">
        <f t="shared" si="2"/>
        <v>0</v>
      </c>
      <c r="G61" s="34">
        <f>INDEX('HB61'!$B$78:$G$78,1,$B61-2016)</f>
        <v>4124.8463271661167</v>
      </c>
      <c r="H61" s="34">
        <f>INDEX('HB61'!$B$76:$G$76,1,$B61-2016)+INDEX('HB61'!$B$79:$G$79,1,$B61-2016)+INDEX('HB61'!$B$80:$G$80,1,$B61-2016)</f>
        <v>-136.6036293839872</v>
      </c>
      <c r="I61" s="66">
        <f t="shared" si="3"/>
        <v>4005.4584976497003</v>
      </c>
      <c r="J61" s="34">
        <f>INDEX('HB61'!$B$93:$G$93,1,$B61-2016)</f>
        <v>0</v>
      </c>
      <c r="K61" s="34">
        <f>INDEX('HB61'!$B$92:$G$92,1,$B61-2016)+INDEX('HB61'!$B$94:$G$94,1,$B61-2016)+INDEX('HB61'!$B$95:$G$95,1,$B61-2016)</f>
        <v>-2505</v>
      </c>
      <c r="L61" s="66">
        <f t="shared" si="4"/>
        <v>0</v>
      </c>
      <c r="M61" s="13">
        <f>INDEX('PF Model'!$F$45:$K$45,1,$B61-2016)</f>
        <v>12940.780384446334</v>
      </c>
      <c r="N61" s="13">
        <f>INDEX('PF Model'!$G$44:$L$44,1,$B61-2016)</f>
        <v>-1485.0511136010025</v>
      </c>
      <c r="O61" s="66">
        <f t="shared" si="5"/>
        <v>11642.886397490938</v>
      </c>
      <c r="P61" s="13">
        <f>INDEX('PF Model'!$F$81:$K$81,1,$B61-2016)</f>
        <v>11458.513777043378</v>
      </c>
      <c r="Q61" s="13">
        <f>INDEX('PF Model'!$G$80:$L$80,1,$B61-2016)</f>
        <v>293.08819828553078</v>
      </c>
      <c r="R61" s="66">
        <f t="shared" si="6"/>
        <v>11714.66483253128</v>
      </c>
      <c r="S61" s="13">
        <v>0</v>
      </c>
      <c r="T61" s="166">
        <v>19123.249424093872</v>
      </c>
    </row>
    <row r="62" spans="1:20">
      <c r="A62" s="63">
        <v>44362</v>
      </c>
      <c r="B62">
        <f t="shared" si="0"/>
        <v>2021</v>
      </c>
      <c r="C62" s="68">
        <f t="shared" si="1"/>
        <v>0.95890410958904104</v>
      </c>
      <c r="D62" s="34">
        <f>INDEX('HB61'!$B$85:$G$85,1,B62-2016)</f>
        <v>0</v>
      </c>
      <c r="E62" s="34">
        <f>INDEX('HB61'!$B$16:$G$16,1,B62-2016)+INDEX('HB61'!$B$86:$G$86,1,B62-2016)+INDEX('HB61'!$B$87:$G$87,1,B62-2016)</f>
        <v>-2505</v>
      </c>
      <c r="F62" s="66">
        <f t="shared" si="2"/>
        <v>0</v>
      </c>
      <c r="G62" s="34">
        <f>INDEX('HB61'!$B$78:$G$78,1,$B62-2016)</f>
        <v>4124.8463271661167</v>
      </c>
      <c r="H62" s="34">
        <f>INDEX('HB61'!$B$76:$G$76,1,$B62-2016)+INDEX('HB61'!$B$79:$G$79,1,$B62-2016)+INDEX('HB61'!$B$80:$G$80,1,$B62-2016)</f>
        <v>-136.6036293839872</v>
      </c>
      <c r="I62" s="66">
        <f t="shared" si="3"/>
        <v>3993.8565455650332</v>
      </c>
      <c r="J62" s="34">
        <f>INDEX('HB61'!$B$93:$G$93,1,$B62-2016)</f>
        <v>0</v>
      </c>
      <c r="K62" s="34">
        <f>INDEX('HB61'!$B$92:$G$92,1,$B62-2016)+INDEX('HB61'!$B$94:$G$94,1,$B62-2016)+INDEX('HB61'!$B$95:$G$95,1,$B62-2016)</f>
        <v>-2505</v>
      </c>
      <c r="L62" s="66">
        <f t="shared" si="4"/>
        <v>0</v>
      </c>
      <c r="M62" s="13">
        <f>INDEX('PF Model'!$F$45:$K$45,1,$B62-2016)</f>
        <v>12940.780384446334</v>
      </c>
      <c r="N62" s="13">
        <f>INDEX('PF Model'!$G$44:$L$44,1,$B62-2016)</f>
        <v>-1485.0511136010025</v>
      </c>
      <c r="O62" s="66">
        <f t="shared" si="5"/>
        <v>11516.758768664551</v>
      </c>
      <c r="P62" s="13">
        <f>INDEX('PF Model'!$F$81:$K$81,1,$B62-2016)</f>
        <v>11458.513777043378</v>
      </c>
      <c r="Q62" s="13">
        <f>INDEX('PF Model'!$G$80:$L$80,1,$B62-2016)</f>
        <v>293.08819828553078</v>
      </c>
      <c r="R62" s="66">
        <f t="shared" si="6"/>
        <v>11739.557254851421</v>
      </c>
      <c r="S62" s="13">
        <v>0</v>
      </c>
      <c r="T62" s="166">
        <v>19200.741714134976</v>
      </c>
    </row>
    <row r="63" spans="1:20">
      <c r="A63" s="63">
        <v>44392</v>
      </c>
      <c r="B63">
        <f t="shared" si="0"/>
        <v>2022</v>
      </c>
      <c r="C63" s="68">
        <f t="shared" si="1"/>
        <v>4.1095890410958902E-2</v>
      </c>
      <c r="D63" s="34">
        <f>INDEX('HB61'!$B$85:$G$85,1,B63-2016)</f>
        <v>0</v>
      </c>
      <c r="E63" s="34">
        <f>INDEX('HB61'!$B$16:$G$16,1,B63-2016)+INDEX('HB61'!$B$86:$G$86,1,B63-2016)+INDEX('HB61'!$B$87:$G$87,1,B63-2016)</f>
        <v>-2515.6999999999998</v>
      </c>
      <c r="F63" s="66">
        <f t="shared" si="2"/>
        <v>0</v>
      </c>
      <c r="G63" s="34">
        <f>INDEX('HB61'!$B$78:$G$78,1,$B63-2016)</f>
        <v>3988.2426977821292</v>
      </c>
      <c r="H63" s="34">
        <f>INDEX('HB61'!$B$76:$G$76,1,$B63-2016)+INDEX('HB61'!$B$79:$G$79,1,$B63-2016)+INDEX('HB61'!$B$80:$G$80,1,$B63-2016)</f>
        <v>-91.182655298056133</v>
      </c>
      <c r="I63" s="66">
        <f t="shared" si="3"/>
        <v>3984.4954653726199</v>
      </c>
      <c r="J63" s="34">
        <f>INDEX('HB61'!$B$93:$G$93,1,$B63-2016)</f>
        <v>0</v>
      </c>
      <c r="K63" s="34">
        <f>INDEX('HB61'!$B$92:$G$92,1,$B63-2016)+INDEX('HB61'!$B$94:$G$94,1,$B63-2016)+INDEX('HB61'!$B$95:$G$95,1,$B63-2016)</f>
        <v>-2515.6999999999998</v>
      </c>
      <c r="L63" s="66">
        <f t="shared" si="4"/>
        <v>0</v>
      </c>
      <c r="M63" s="13">
        <f>INDEX('PF Model'!$F$45:$K$45,1,$B63-2016)</f>
        <v>11455.729270845331</v>
      </c>
      <c r="N63" s="13">
        <f>INDEX('PF Model'!$G$44:$L$44,1,$B63-2016)</f>
        <v>-1715.3558763138669</v>
      </c>
      <c r="O63" s="66">
        <f t="shared" si="5"/>
        <v>11385.235193736542</v>
      </c>
      <c r="P63" s="13">
        <f>INDEX('PF Model'!$F$81:$K$81,1,$B63-2016)</f>
        <v>11751.601975328907</v>
      </c>
      <c r="Q63" s="13">
        <f>INDEX('PF Model'!$G$80:$L$80,1,$B63-2016)</f>
        <v>332.59131032759615</v>
      </c>
      <c r="R63" s="66">
        <f t="shared" si="6"/>
        <v>11765.270111369768</v>
      </c>
      <c r="S63" s="13">
        <v>0</v>
      </c>
      <c r="T63" s="166">
        <v>19276.757209908395</v>
      </c>
    </row>
    <row r="64" spans="1:20">
      <c r="A64" s="63">
        <v>44423</v>
      </c>
      <c r="B64">
        <f t="shared" si="0"/>
        <v>2022</v>
      </c>
      <c r="C64" s="68">
        <f t="shared" si="1"/>
        <v>0.12602739726027398</v>
      </c>
      <c r="D64" s="34">
        <f>INDEX('HB61'!$B$85:$G$85,1,B64-2016)</f>
        <v>0</v>
      </c>
      <c r="E64" s="34">
        <f>INDEX('HB61'!$B$16:$G$16,1,B64-2016)+INDEX('HB61'!$B$86:$G$86,1,B64-2016)+INDEX('HB61'!$B$87:$G$87,1,B64-2016)</f>
        <v>-2515.6999999999998</v>
      </c>
      <c r="F64" s="66">
        <f t="shared" si="2"/>
        <v>0</v>
      </c>
      <c r="G64" s="34">
        <f>INDEX('HB61'!$B$78:$G$78,1,$B64-2016)</f>
        <v>3988.2426977821292</v>
      </c>
      <c r="H64" s="34">
        <f>INDEX('HB61'!$B$76:$G$76,1,$B64-2016)+INDEX('HB61'!$B$79:$G$79,1,$B64-2016)+INDEX('HB61'!$B$80:$G$80,1,$B64-2016)</f>
        <v>-91.182655298056133</v>
      </c>
      <c r="I64" s="66">
        <f t="shared" si="3"/>
        <v>3976.7511850596343</v>
      </c>
      <c r="J64" s="34">
        <f>INDEX('HB61'!$B$93:$G$93,1,$B64-2016)</f>
        <v>0</v>
      </c>
      <c r="K64" s="34">
        <f>INDEX('HB61'!$B$92:$G$92,1,$B64-2016)+INDEX('HB61'!$B$94:$G$94,1,$B64-2016)+INDEX('HB61'!$B$95:$G$95,1,$B64-2016)</f>
        <v>-2515.6999999999998</v>
      </c>
      <c r="L64" s="66">
        <f t="shared" si="4"/>
        <v>0</v>
      </c>
      <c r="M64" s="13">
        <f>INDEX('PF Model'!$F$45:$K$45,1,$B64-2016)</f>
        <v>11455.729270845331</v>
      </c>
      <c r="N64" s="13">
        <f>INDEX('PF Model'!$G$44:$L$44,1,$B64-2016)</f>
        <v>-1715.3558763138669</v>
      </c>
      <c r="O64" s="66">
        <f t="shared" si="5"/>
        <v>11239.547434378379</v>
      </c>
      <c r="P64" s="13">
        <f>INDEX('PF Model'!$F$81:$K$81,1,$B64-2016)</f>
        <v>11751.601975328907</v>
      </c>
      <c r="Q64" s="13">
        <f>INDEX('PF Model'!$G$80:$L$80,1,$B64-2016)</f>
        <v>332.59131032759615</v>
      </c>
      <c r="R64" s="66">
        <f t="shared" si="6"/>
        <v>11793.517592520879</v>
      </c>
      <c r="S64" s="13">
        <v>0</v>
      </c>
      <c r="T64" s="166">
        <v>19356.36361113235</v>
      </c>
    </row>
    <row r="65" spans="1:20">
      <c r="A65" s="63">
        <v>44454</v>
      </c>
      <c r="B65">
        <f t="shared" si="0"/>
        <v>2022</v>
      </c>
      <c r="C65" s="68">
        <f t="shared" si="1"/>
        <v>0.21095890410958903</v>
      </c>
      <c r="D65" s="34">
        <f>INDEX('HB61'!$B$85:$G$85,1,B65-2016)</f>
        <v>0</v>
      </c>
      <c r="E65" s="34">
        <f>INDEX('HB61'!$B$16:$G$16,1,B65-2016)+INDEX('HB61'!$B$86:$G$86,1,B65-2016)+INDEX('HB61'!$B$87:$G$87,1,B65-2016)</f>
        <v>-2515.6999999999998</v>
      </c>
      <c r="F65" s="66">
        <f t="shared" si="2"/>
        <v>0</v>
      </c>
      <c r="G65" s="34">
        <f>INDEX('HB61'!$B$78:$G$78,1,$B65-2016)</f>
        <v>3988.2426977821292</v>
      </c>
      <c r="H65" s="34">
        <f>INDEX('HB61'!$B$76:$G$76,1,$B65-2016)+INDEX('HB61'!$B$79:$G$79,1,$B65-2016)+INDEX('HB61'!$B$80:$G$80,1,$B65-2016)</f>
        <v>-91.182655298056133</v>
      </c>
      <c r="I65" s="66">
        <f t="shared" si="3"/>
        <v>3969.0069047466491</v>
      </c>
      <c r="J65" s="34">
        <f>INDEX('HB61'!$B$93:$G$93,1,$B65-2016)</f>
        <v>0</v>
      </c>
      <c r="K65" s="34">
        <f>INDEX('HB61'!$B$92:$G$92,1,$B65-2016)+INDEX('HB61'!$B$94:$G$94,1,$B65-2016)+INDEX('HB61'!$B$95:$G$95,1,$B65-2016)</f>
        <v>-2515.6999999999998</v>
      </c>
      <c r="L65" s="66">
        <f t="shared" si="4"/>
        <v>0</v>
      </c>
      <c r="M65" s="13">
        <f>INDEX('PF Model'!$F$45:$K$45,1,$B65-2016)</f>
        <v>11455.729270845331</v>
      </c>
      <c r="N65" s="13">
        <f>INDEX('PF Model'!$G$44:$L$44,1,$B65-2016)</f>
        <v>-1715.3558763138669</v>
      </c>
      <c r="O65" s="66">
        <f t="shared" si="5"/>
        <v>11093.859675020214</v>
      </c>
      <c r="P65" s="13">
        <f>INDEX('PF Model'!$F$81:$K$81,1,$B65-2016)</f>
        <v>11751.601975328907</v>
      </c>
      <c r="Q65" s="13">
        <f>INDEX('PF Model'!$G$80:$L$80,1,$B65-2016)</f>
        <v>332.59131032759615</v>
      </c>
      <c r="R65" s="66">
        <f t="shared" si="6"/>
        <v>11821.76507367199</v>
      </c>
      <c r="S65" s="13">
        <v>0</v>
      </c>
      <c r="T65" s="166">
        <v>19435.970012356305</v>
      </c>
    </row>
    <row r="66" spans="1:20">
      <c r="A66" s="63">
        <v>44484</v>
      </c>
      <c r="B66">
        <f t="shared" si="0"/>
        <v>2022</v>
      </c>
      <c r="C66" s="68">
        <f t="shared" si="1"/>
        <v>0.29315068493150687</v>
      </c>
      <c r="D66" s="34">
        <f>INDEX('HB61'!$B$85:$G$85,1,B66-2016)</f>
        <v>0</v>
      </c>
      <c r="E66" s="34">
        <f>INDEX('HB61'!$B$16:$G$16,1,B66-2016)+INDEX('HB61'!$B$86:$G$86,1,B66-2016)+INDEX('HB61'!$B$87:$G$87,1,B66-2016)</f>
        <v>-2515.6999999999998</v>
      </c>
      <c r="F66" s="66">
        <f t="shared" si="2"/>
        <v>0</v>
      </c>
      <c r="G66" s="34">
        <f>INDEX('HB61'!$B$78:$G$78,1,$B66-2016)</f>
        <v>3988.2426977821292</v>
      </c>
      <c r="H66" s="34">
        <f>INDEX('HB61'!$B$76:$G$76,1,$B66-2016)+INDEX('HB61'!$B$79:$G$79,1,$B66-2016)+INDEX('HB61'!$B$80:$G$80,1,$B66-2016)</f>
        <v>-91.182655298056133</v>
      </c>
      <c r="I66" s="66">
        <f t="shared" si="3"/>
        <v>3961.5124399276306</v>
      </c>
      <c r="J66" s="34">
        <f>INDEX('HB61'!$B$93:$G$93,1,$B66-2016)</f>
        <v>0</v>
      </c>
      <c r="K66" s="34">
        <f>INDEX('HB61'!$B$92:$G$92,1,$B66-2016)+INDEX('HB61'!$B$94:$G$94,1,$B66-2016)+INDEX('HB61'!$B$95:$G$95,1,$B66-2016)</f>
        <v>-2515.6999999999998</v>
      </c>
      <c r="L66" s="66">
        <f t="shared" si="4"/>
        <v>0</v>
      </c>
      <c r="M66" s="13">
        <f>INDEX('PF Model'!$F$45:$K$45,1,$B66-2016)</f>
        <v>11455.729270845331</v>
      </c>
      <c r="N66" s="13">
        <f>INDEX('PF Model'!$G$44:$L$44,1,$B66-2016)</f>
        <v>-1715.3558763138669</v>
      </c>
      <c r="O66" s="66">
        <f t="shared" si="5"/>
        <v>10952.871520802637</v>
      </c>
      <c r="P66" s="13">
        <f>INDEX('PF Model'!$F$81:$K$81,1,$B66-2016)</f>
        <v>11751.601975328907</v>
      </c>
      <c r="Q66" s="13">
        <f>INDEX('PF Model'!$G$80:$L$80,1,$B66-2016)</f>
        <v>332.59131032759615</v>
      </c>
      <c r="R66" s="66">
        <f t="shared" si="6"/>
        <v>11849.10134575371</v>
      </c>
      <c r="S66" s="13">
        <v>0</v>
      </c>
      <c r="T66" s="166">
        <v>19513.008465153685</v>
      </c>
    </row>
    <row r="67" spans="1:20">
      <c r="A67" s="63">
        <v>44515</v>
      </c>
      <c r="B67">
        <f t="shared" si="0"/>
        <v>2022</v>
      </c>
      <c r="C67" s="68">
        <f t="shared" si="1"/>
        <v>0.37808219178082192</v>
      </c>
      <c r="D67" s="34">
        <f>INDEX('HB61'!$B$85:$G$85,1,B67-2016)</f>
        <v>0</v>
      </c>
      <c r="E67" s="34">
        <f>INDEX('HB61'!$B$16:$G$16,1,B67-2016)+INDEX('HB61'!$B$86:$G$86,1,B67-2016)+INDEX('HB61'!$B$87:$G$87,1,B67-2016)</f>
        <v>-2515.6999999999998</v>
      </c>
      <c r="F67" s="66">
        <f t="shared" si="2"/>
        <v>0</v>
      </c>
      <c r="G67" s="34">
        <f>INDEX('HB61'!$B$78:$G$78,1,$B67-2016)</f>
        <v>3988.2426977821292</v>
      </c>
      <c r="H67" s="34">
        <f>INDEX('HB61'!$B$76:$G$76,1,$B67-2016)+INDEX('HB61'!$B$79:$G$79,1,$B67-2016)+INDEX('HB61'!$B$80:$G$80,1,$B67-2016)</f>
        <v>-91.182655298056133</v>
      </c>
      <c r="I67" s="66">
        <f t="shared" si="3"/>
        <v>3953.7681596146449</v>
      </c>
      <c r="J67" s="34">
        <f>INDEX('HB61'!$B$93:$G$93,1,$B67-2016)</f>
        <v>0</v>
      </c>
      <c r="K67" s="34">
        <f>INDEX('HB61'!$B$92:$G$92,1,$B67-2016)+INDEX('HB61'!$B$94:$G$94,1,$B67-2016)+INDEX('HB61'!$B$95:$G$95,1,$B67-2016)</f>
        <v>-2515.6999999999998</v>
      </c>
      <c r="L67" s="66">
        <f t="shared" si="4"/>
        <v>0</v>
      </c>
      <c r="M67" s="13">
        <f>INDEX('PF Model'!$F$45:$K$45,1,$B67-2016)</f>
        <v>11455.729270845331</v>
      </c>
      <c r="N67" s="13">
        <f>INDEX('PF Model'!$G$44:$L$44,1,$B67-2016)</f>
        <v>-1715.3558763138669</v>
      </c>
      <c r="O67" s="66">
        <f t="shared" si="5"/>
        <v>10807.183761444472</v>
      </c>
      <c r="P67" s="13">
        <f>INDEX('PF Model'!$F$81:$K$81,1,$B67-2016)</f>
        <v>11751.601975328907</v>
      </c>
      <c r="Q67" s="13">
        <f>INDEX('PF Model'!$G$80:$L$80,1,$B67-2016)</f>
        <v>332.59131032759615</v>
      </c>
      <c r="R67" s="66">
        <f t="shared" si="6"/>
        <v>11877.348826904821</v>
      </c>
      <c r="S67" s="13">
        <v>0</v>
      </c>
      <c r="T67" s="166">
        <v>19592.61486637764</v>
      </c>
    </row>
    <row r="68" spans="1:20">
      <c r="A68" s="63">
        <v>44545</v>
      </c>
      <c r="B68">
        <f t="shared" si="0"/>
        <v>2022</v>
      </c>
      <c r="C68" s="68">
        <f t="shared" si="1"/>
        <v>0.46027397260273972</v>
      </c>
      <c r="D68" s="34">
        <f>INDEX('HB61'!$B$85:$G$85,1,B68-2016)</f>
        <v>0</v>
      </c>
      <c r="E68" s="34">
        <f>INDEX('HB61'!$B$16:$G$16,1,B68-2016)+INDEX('HB61'!$B$86:$G$86,1,B68-2016)+INDEX('HB61'!$B$87:$G$87,1,B68-2016)</f>
        <v>-2515.6999999999998</v>
      </c>
      <c r="F68" s="66">
        <f t="shared" si="2"/>
        <v>0</v>
      </c>
      <c r="G68" s="34">
        <f>INDEX('HB61'!$B$78:$G$78,1,$B68-2016)</f>
        <v>3988.2426977821292</v>
      </c>
      <c r="H68" s="34">
        <f>INDEX('HB61'!$B$76:$G$76,1,$B68-2016)+INDEX('HB61'!$B$79:$G$79,1,$B68-2016)+INDEX('HB61'!$B$80:$G$80,1,$B68-2016)</f>
        <v>-91.182655298056133</v>
      </c>
      <c r="I68" s="66">
        <f t="shared" si="3"/>
        <v>3946.2736947956269</v>
      </c>
      <c r="J68" s="34">
        <f>INDEX('HB61'!$B$93:$G$93,1,$B68-2016)</f>
        <v>0</v>
      </c>
      <c r="K68" s="34">
        <f>INDEX('HB61'!$B$92:$G$92,1,$B68-2016)+INDEX('HB61'!$B$94:$G$94,1,$B68-2016)+INDEX('HB61'!$B$95:$G$95,1,$B68-2016)</f>
        <v>-2515.6999999999998</v>
      </c>
      <c r="L68" s="66">
        <f t="shared" si="4"/>
        <v>0</v>
      </c>
      <c r="M68" s="13">
        <f>INDEX('PF Model'!$F$45:$K$45,1,$B68-2016)</f>
        <v>11455.729270845331</v>
      </c>
      <c r="N68" s="13">
        <f>INDEX('PF Model'!$G$44:$L$44,1,$B68-2016)</f>
        <v>-1715.3558763138669</v>
      </c>
      <c r="O68" s="66">
        <f t="shared" si="5"/>
        <v>10666.195607226895</v>
      </c>
      <c r="P68" s="13">
        <f>INDEX('PF Model'!$F$81:$K$81,1,$B68-2016)</f>
        <v>11751.601975328907</v>
      </c>
      <c r="Q68" s="13">
        <f>INDEX('PF Model'!$G$80:$L$80,1,$B68-2016)</f>
        <v>332.59131032759615</v>
      </c>
      <c r="R68" s="66">
        <f t="shared" si="6"/>
        <v>11904.685098986542</v>
      </c>
      <c r="S68" s="13">
        <v>0</v>
      </c>
      <c r="T68" s="166">
        <v>19669.653319175017</v>
      </c>
    </row>
    <row r="69" spans="1:20">
      <c r="A69" s="63">
        <v>44576</v>
      </c>
      <c r="B69">
        <f t="shared" si="0"/>
        <v>2022</v>
      </c>
      <c r="C69" s="68">
        <f t="shared" si="1"/>
        <v>0.54520547945205478</v>
      </c>
      <c r="D69" s="34">
        <f>INDEX('HB61'!$B$85:$G$85,1,B69-2016)</f>
        <v>0</v>
      </c>
      <c r="E69" s="34">
        <f>INDEX('HB61'!$B$16:$G$16,1,B69-2016)+INDEX('HB61'!$B$86:$G$86,1,B69-2016)+INDEX('HB61'!$B$87:$G$87,1,B69-2016)</f>
        <v>-2515.6999999999998</v>
      </c>
      <c r="F69" s="66">
        <f t="shared" si="2"/>
        <v>0</v>
      </c>
      <c r="G69" s="34">
        <f>INDEX('HB61'!$B$78:$G$78,1,$B69-2016)</f>
        <v>3988.2426977821292</v>
      </c>
      <c r="H69" s="34">
        <f>INDEX('HB61'!$B$76:$G$76,1,$B69-2016)+INDEX('HB61'!$B$79:$G$79,1,$B69-2016)+INDEX('HB61'!$B$80:$G$80,1,$B69-2016)</f>
        <v>-91.182655298056133</v>
      </c>
      <c r="I69" s="66">
        <f t="shared" si="3"/>
        <v>3938.5294144826412</v>
      </c>
      <c r="J69" s="34">
        <f>INDEX('HB61'!$B$93:$G$93,1,$B69-2016)</f>
        <v>0</v>
      </c>
      <c r="K69" s="34">
        <f>INDEX('HB61'!$B$92:$G$92,1,$B69-2016)+INDEX('HB61'!$B$94:$G$94,1,$B69-2016)+INDEX('HB61'!$B$95:$G$95,1,$B69-2016)</f>
        <v>-2515.6999999999998</v>
      </c>
      <c r="L69" s="66">
        <f t="shared" si="4"/>
        <v>0</v>
      </c>
      <c r="M69" s="13">
        <f>INDEX('PF Model'!$F$45:$K$45,1,$B69-2016)</f>
        <v>11455.729270845331</v>
      </c>
      <c r="N69" s="13">
        <f>INDEX('PF Model'!$G$44:$L$44,1,$B69-2016)</f>
        <v>-1715.3558763138669</v>
      </c>
      <c r="O69" s="66">
        <f t="shared" si="5"/>
        <v>10520.50784786873</v>
      </c>
      <c r="P69" s="13">
        <f>INDEX('PF Model'!$F$81:$K$81,1,$B69-2016)</f>
        <v>11751.601975328907</v>
      </c>
      <c r="Q69" s="13">
        <f>INDEX('PF Model'!$G$80:$L$80,1,$B69-2016)</f>
        <v>332.59131032759615</v>
      </c>
      <c r="R69" s="66">
        <f t="shared" si="6"/>
        <v>11932.932580137651</v>
      </c>
      <c r="S69" s="13">
        <v>0</v>
      </c>
      <c r="T69" s="166">
        <v>19749.259720398975</v>
      </c>
    </row>
    <row r="70" spans="1:20">
      <c r="A70" s="63">
        <v>44607</v>
      </c>
      <c r="B70">
        <f t="shared" si="0"/>
        <v>2022</v>
      </c>
      <c r="C70" s="68">
        <f t="shared" si="1"/>
        <v>0.63013698630136983</v>
      </c>
      <c r="D70" s="34">
        <f>INDEX('HB61'!$B$85:$G$85,1,B70-2016)</f>
        <v>0</v>
      </c>
      <c r="E70" s="34">
        <f>INDEX('HB61'!$B$16:$G$16,1,B70-2016)+INDEX('HB61'!$B$86:$G$86,1,B70-2016)+INDEX('HB61'!$B$87:$G$87,1,B70-2016)</f>
        <v>-2515.6999999999998</v>
      </c>
      <c r="F70" s="66">
        <f t="shared" si="2"/>
        <v>0</v>
      </c>
      <c r="G70" s="34">
        <f>INDEX('HB61'!$B$78:$G$78,1,$B70-2016)</f>
        <v>3988.2426977821292</v>
      </c>
      <c r="H70" s="34">
        <f>INDEX('HB61'!$B$76:$G$76,1,$B70-2016)+INDEX('HB61'!$B$79:$G$79,1,$B70-2016)+INDEX('HB61'!$B$80:$G$80,1,$B70-2016)</f>
        <v>-91.182655298056133</v>
      </c>
      <c r="I70" s="66">
        <f t="shared" si="3"/>
        <v>3930.7851341696555</v>
      </c>
      <c r="J70" s="34">
        <f>INDEX('HB61'!$B$93:$G$93,1,$B70-2016)</f>
        <v>0</v>
      </c>
      <c r="K70" s="34">
        <f>INDEX('HB61'!$B$92:$G$92,1,$B70-2016)+INDEX('HB61'!$B$94:$G$94,1,$B70-2016)+INDEX('HB61'!$B$95:$G$95,1,$B70-2016)</f>
        <v>-2515.6999999999998</v>
      </c>
      <c r="L70" s="66">
        <f t="shared" si="4"/>
        <v>0</v>
      </c>
      <c r="M70" s="13">
        <f>INDEX('PF Model'!$F$45:$K$45,1,$B70-2016)</f>
        <v>11455.729270845331</v>
      </c>
      <c r="N70" s="13">
        <f>INDEX('PF Model'!$G$44:$L$44,1,$B70-2016)</f>
        <v>-1715.3558763138669</v>
      </c>
      <c r="O70" s="66">
        <f t="shared" si="5"/>
        <v>10374.820088510565</v>
      </c>
      <c r="P70" s="13">
        <f>INDEX('PF Model'!$F$81:$K$81,1,$B70-2016)</f>
        <v>11751.601975328907</v>
      </c>
      <c r="Q70" s="13">
        <f>INDEX('PF Model'!$G$80:$L$80,1,$B70-2016)</f>
        <v>332.59131032759615</v>
      </c>
      <c r="R70" s="66">
        <f t="shared" si="6"/>
        <v>11961.180061288762</v>
      </c>
      <c r="S70" s="13">
        <v>0</v>
      </c>
      <c r="T70" s="166">
        <v>19828.86612162293</v>
      </c>
    </row>
    <row r="71" spans="1:20">
      <c r="A71" s="63">
        <v>44635</v>
      </c>
      <c r="B71">
        <f t="shared" si="0"/>
        <v>2022</v>
      </c>
      <c r="C71" s="68">
        <f t="shared" si="1"/>
        <v>0.70684931506849313</v>
      </c>
      <c r="D71" s="34">
        <f>INDEX('HB61'!$B$85:$G$85,1,B71-2016)</f>
        <v>0</v>
      </c>
      <c r="E71" s="34">
        <f>INDEX('HB61'!$B$16:$G$16,1,B71-2016)+INDEX('HB61'!$B$86:$G$86,1,B71-2016)+INDEX('HB61'!$B$87:$G$87,1,B71-2016)</f>
        <v>-2515.6999999999998</v>
      </c>
      <c r="F71" s="66">
        <f t="shared" si="2"/>
        <v>0</v>
      </c>
      <c r="G71" s="34">
        <f>INDEX('HB61'!$B$78:$G$78,1,$B71-2016)</f>
        <v>3988.2426977821292</v>
      </c>
      <c r="H71" s="34">
        <f>INDEX('HB61'!$B$76:$G$76,1,$B71-2016)+INDEX('HB61'!$B$79:$G$79,1,$B71-2016)+INDEX('HB61'!$B$80:$G$80,1,$B71-2016)</f>
        <v>-91.182655298056133</v>
      </c>
      <c r="I71" s="66">
        <f t="shared" si="3"/>
        <v>3923.7903003385718</v>
      </c>
      <c r="J71" s="34">
        <f>INDEX('HB61'!$B$93:$G$93,1,$B71-2016)</f>
        <v>0</v>
      </c>
      <c r="K71" s="34">
        <f>INDEX('HB61'!$B$92:$G$92,1,$B71-2016)+INDEX('HB61'!$B$94:$G$94,1,$B71-2016)+INDEX('HB61'!$B$95:$G$95,1,$B71-2016)</f>
        <v>-2515.6999999999998</v>
      </c>
      <c r="L71" s="66">
        <f t="shared" si="4"/>
        <v>0</v>
      </c>
      <c r="M71" s="13">
        <f>INDEX('PF Model'!$F$45:$K$45,1,$B71-2016)</f>
        <v>11455.729270845331</v>
      </c>
      <c r="N71" s="13">
        <f>INDEX('PF Model'!$G$44:$L$44,1,$B71-2016)</f>
        <v>-1715.3558763138669</v>
      </c>
      <c r="O71" s="66">
        <f t="shared" si="5"/>
        <v>10243.23114457416</v>
      </c>
      <c r="P71" s="13">
        <f>INDEX('PF Model'!$F$81:$K$81,1,$B71-2016)</f>
        <v>11751.601975328907</v>
      </c>
      <c r="Q71" s="13">
        <f>INDEX('PF Model'!$G$80:$L$80,1,$B71-2016)</f>
        <v>332.59131032759615</v>
      </c>
      <c r="R71" s="66">
        <f t="shared" si="6"/>
        <v>11986.693915231701</v>
      </c>
      <c r="S71" s="13">
        <v>0</v>
      </c>
      <c r="T71" s="166">
        <v>19900.76867756715</v>
      </c>
    </row>
    <row r="72" spans="1:20">
      <c r="A72" s="63">
        <v>44666</v>
      </c>
      <c r="B72">
        <f t="shared" si="0"/>
        <v>2022</v>
      </c>
      <c r="C72" s="68">
        <f t="shared" si="1"/>
        <v>0.79178082191780819</v>
      </c>
      <c r="D72" s="34">
        <f>INDEX('HB61'!$B$85:$G$85,1,B72-2016)</f>
        <v>0</v>
      </c>
      <c r="E72" s="34">
        <f>INDEX('HB61'!$B$16:$G$16,1,B72-2016)+INDEX('HB61'!$B$86:$G$86,1,B72-2016)+INDEX('HB61'!$B$87:$G$87,1,B72-2016)</f>
        <v>-2515.6999999999998</v>
      </c>
      <c r="F72" s="66">
        <f t="shared" si="2"/>
        <v>0</v>
      </c>
      <c r="G72" s="34">
        <f>INDEX('HB61'!$B$78:$G$78,1,$B72-2016)</f>
        <v>3988.2426977821292</v>
      </c>
      <c r="H72" s="34">
        <f>INDEX('HB61'!$B$76:$G$76,1,$B72-2016)+INDEX('HB61'!$B$79:$G$79,1,$B72-2016)+INDEX('HB61'!$B$80:$G$80,1,$B72-2016)</f>
        <v>-91.182655298056133</v>
      </c>
      <c r="I72" s="66">
        <f t="shared" si="3"/>
        <v>3916.0460200255861</v>
      </c>
      <c r="J72" s="34">
        <f>INDEX('HB61'!$B$93:$G$93,1,$B72-2016)</f>
        <v>0</v>
      </c>
      <c r="K72" s="34">
        <f>INDEX('HB61'!$B$92:$G$92,1,$B72-2016)+INDEX('HB61'!$B$94:$G$94,1,$B72-2016)+INDEX('HB61'!$B$95:$G$95,1,$B72-2016)</f>
        <v>-2515.6999999999998</v>
      </c>
      <c r="L72" s="66">
        <f t="shared" si="4"/>
        <v>0</v>
      </c>
      <c r="M72" s="13">
        <f>INDEX('PF Model'!$F$45:$K$45,1,$B72-2016)</f>
        <v>11455.729270845331</v>
      </c>
      <c r="N72" s="13">
        <f>INDEX('PF Model'!$G$44:$L$44,1,$B72-2016)</f>
        <v>-1715.3558763138669</v>
      </c>
      <c r="O72" s="66">
        <f t="shared" si="5"/>
        <v>10097.543385215995</v>
      </c>
      <c r="P72" s="13">
        <f>INDEX('PF Model'!$F$81:$K$81,1,$B72-2016)</f>
        <v>11751.601975328907</v>
      </c>
      <c r="Q72" s="13">
        <f>INDEX('PF Model'!$G$80:$L$80,1,$B72-2016)</f>
        <v>332.59131032759615</v>
      </c>
      <c r="R72" s="66">
        <f t="shared" si="6"/>
        <v>12014.941396382812</v>
      </c>
      <c r="S72" s="13">
        <v>0</v>
      </c>
      <c r="T72" s="166">
        <v>19980.375078791105</v>
      </c>
    </row>
    <row r="73" spans="1:20">
      <c r="A73" s="63">
        <v>44696</v>
      </c>
      <c r="B73">
        <f t="shared" si="0"/>
        <v>2022</v>
      </c>
      <c r="C73" s="68">
        <f t="shared" si="1"/>
        <v>0.87397260273972599</v>
      </c>
      <c r="D73" s="34">
        <f>INDEX('HB61'!$B$85:$G$85,1,B73-2016)</f>
        <v>0</v>
      </c>
      <c r="E73" s="34">
        <f>INDEX('HB61'!$B$16:$G$16,1,B73-2016)+INDEX('HB61'!$B$86:$G$86,1,B73-2016)+INDEX('HB61'!$B$87:$G$87,1,B73-2016)</f>
        <v>-2515.6999999999998</v>
      </c>
      <c r="F73" s="66">
        <f t="shared" si="2"/>
        <v>0</v>
      </c>
      <c r="G73" s="34">
        <f>INDEX('HB61'!$B$78:$G$78,1,$B73-2016)</f>
        <v>3988.2426977821292</v>
      </c>
      <c r="H73" s="34">
        <f>INDEX('HB61'!$B$76:$G$76,1,$B73-2016)+INDEX('HB61'!$B$79:$G$79,1,$B73-2016)+INDEX('HB61'!$B$80:$G$80,1,$B73-2016)</f>
        <v>-91.182655298056133</v>
      </c>
      <c r="I73" s="66">
        <f t="shared" si="3"/>
        <v>3908.5515552065676</v>
      </c>
      <c r="J73" s="34">
        <f>INDEX('HB61'!$B$93:$G$93,1,$B73-2016)</f>
        <v>0</v>
      </c>
      <c r="K73" s="34">
        <f>INDEX('HB61'!$B$92:$G$92,1,$B73-2016)+INDEX('HB61'!$B$94:$G$94,1,$B73-2016)+INDEX('HB61'!$B$95:$G$95,1,$B73-2016)</f>
        <v>-2515.6999999999998</v>
      </c>
      <c r="L73" s="66">
        <f t="shared" si="4"/>
        <v>0</v>
      </c>
      <c r="M73" s="13">
        <f>INDEX('PF Model'!$F$45:$K$45,1,$B73-2016)</f>
        <v>11455.729270845331</v>
      </c>
      <c r="N73" s="13">
        <f>INDEX('PF Model'!$G$44:$L$44,1,$B73-2016)</f>
        <v>-1715.3558763138669</v>
      </c>
      <c r="O73" s="66">
        <f t="shared" si="5"/>
        <v>9956.5552309984178</v>
      </c>
      <c r="P73" s="13">
        <f>INDEX('PF Model'!$F$81:$K$81,1,$B73-2016)</f>
        <v>11751.601975328907</v>
      </c>
      <c r="Q73" s="13">
        <f>INDEX('PF Model'!$G$80:$L$80,1,$B73-2016)</f>
        <v>332.59131032759615</v>
      </c>
      <c r="R73" s="66">
        <f t="shared" si="6"/>
        <v>12042.277668464532</v>
      </c>
      <c r="S73" s="13">
        <v>0</v>
      </c>
      <c r="T73" s="166">
        <v>20057.413531588481</v>
      </c>
    </row>
    <row r="74" spans="1:20">
      <c r="A74" s="63">
        <v>44727</v>
      </c>
      <c r="B74">
        <f t="shared" si="0"/>
        <v>2022</v>
      </c>
      <c r="C74" s="68">
        <f t="shared" ref="C74:C75" si="7">(A74-DATE(B74-1,6,30))/(DATE(B74,6,30)-DATE(B74-1, 6, 30))</f>
        <v>0.95890410958904104</v>
      </c>
      <c r="D74" s="34">
        <f>INDEX('HB61'!$B$85:$G$85,1,B74-2016)</f>
        <v>0</v>
      </c>
      <c r="E74" s="34">
        <f>INDEX('HB61'!$B$16:$G$16,1,B74-2016)+INDEX('HB61'!$B$86:$G$86,1,B74-2016)+INDEX('HB61'!$B$87:$G$87,1,B74-2016)</f>
        <v>-2515.6999999999998</v>
      </c>
      <c r="F74" s="66">
        <f t="shared" ref="F74" si="8">MAX(0,D74+E74*C74)</f>
        <v>0</v>
      </c>
      <c r="G74" s="34">
        <f>INDEX('HB61'!$B$78:$G$78,1,$B74-2016)</f>
        <v>3988.2426977821292</v>
      </c>
      <c r="H74" s="34">
        <f>INDEX('HB61'!$B$76:$G$76,1,$B74-2016)+INDEX('HB61'!$B$79:$G$79,1,$B74-2016)+INDEX('HB61'!$B$80:$G$80,1,$B74-2016)</f>
        <v>-91.182655298056133</v>
      </c>
      <c r="I74" s="66">
        <f t="shared" si="3"/>
        <v>3900.8072748935824</v>
      </c>
      <c r="J74" s="34">
        <f>INDEX('HB61'!$B$93:$G$93,1,$B74-2016)</f>
        <v>0</v>
      </c>
      <c r="K74" s="34">
        <f>INDEX('HB61'!$B$92:$G$92,1,$B74-2016)+INDEX('HB61'!$B$94:$G$94,1,$B74-2016)+INDEX('HB61'!$B$95:$G$95,1,$B74-2016)</f>
        <v>-2515.6999999999998</v>
      </c>
      <c r="L74" s="66">
        <f t="shared" si="4"/>
        <v>0</v>
      </c>
      <c r="M74" s="13">
        <f>INDEX('PF Model'!$F$45:$K$45,1,$B74-2016)</f>
        <v>11455.729270845331</v>
      </c>
      <c r="N74" s="13">
        <f>INDEX('PF Model'!$G$44:$L$44,1,$B74-2016)</f>
        <v>-1715.3558763138669</v>
      </c>
      <c r="O74" s="66">
        <f t="shared" si="5"/>
        <v>9810.8674716402529</v>
      </c>
      <c r="P74" s="13">
        <f>INDEX('PF Model'!$F$81:$K$81,1,$B74-2016)</f>
        <v>11751.601975328907</v>
      </c>
      <c r="Q74" s="13">
        <f>INDEX('PF Model'!$G$80:$L$80,1,$B74-2016)</f>
        <v>332.59131032759615</v>
      </c>
      <c r="R74" s="66">
        <f t="shared" si="6"/>
        <v>12070.525149615643</v>
      </c>
      <c r="S74" s="13">
        <v>0</v>
      </c>
      <c r="T74" s="166">
        <v>20137.01993281244</v>
      </c>
    </row>
    <row r="75" spans="1:20">
      <c r="A75" s="63">
        <v>44742</v>
      </c>
      <c r="B75">
        <f t="shared" si="0"/>
        <v>2022</v>
      </c>
      <c r="C75" s="70">
        <f t="shared" si="7"/>
        <v>1</v>
      </c>
      <c r="D75" s="34">
        <f>INDEX('HB61'!$B$85:$G$85,1,B75-2016)</f>
        <v>0</v>
      </c>
      <c r="E75" s="34">
        <f>INDEX('HB61'!$B$16:$G$16,1,B75-2016)+INDEX('HB61'!$B$86:$G$86,1,B75-2016)+INDEX('HB61'!$B$87:$G$87,1,B75-2016)</f>
        <v>-2515.6999999999998</v>
      </c>
      <c r="F75" s="66">
        <f t="shared" ref="F75" si="9">MAX(0,D75+E75*C75)</f>
        <v>0</v>
      </c>
      <c r="G75" s="34">
        <f>INDEX('HB61'!$B$78:$G$78,1,$B75-2016)</f>
        <v>3988.2426977821292</v>
      </c>
      <c r="H75" s="34">
        <f>INDEX('HB61'!$B$76:$G$76,1,$B75-2016)+INDEX('HB61'!$B$79:$G$79,1,$B75-2016)+INDEX('HB61'!$B$80:$G$80,1,$B75-2016)</f>
        <v>-91.182655298056133</v>
      </c>
      <c r="I75" s="66">
        <f t="shared" si="3"/>
        <v>3897.0600424840732</v>
      </c>
      <c r="J75" s="34">
        <f>INDEX('HB61'!$B$93:$G$93,1,$B75-2016)</f>
        <v>0</v>
      </c>
      <c r="K75" s="34">
        <f>INDEX('HB61'!$B$92:$G$92,1,$B75-2016)+INDEX('HB61'!$B$94:$G$94,1,$B75-2016)+INDEX('HB61'!$B$95:$G$95,1,$B75-2016)</f>
        <v>-2515.6999999999998</v>
      </c>
      <c r="L75" s="66">
        <f t="shared" si="4"/>
        <v>0</v>
      </c>
      <c r="M75" s="13">
        <f>INDEX('PF Model'!$F$45:$K$45,1,$B75-2016)</f>
        <v>11455.729270845331</v>
      </c>
      <c r="N75" s="13">
        <f>INDEX('PF Model'!$G$44:$L$44,1,$B75-2016)</f>
        <v>-1715.3558763138669</v>
      </c>
      <c r="O75" s="66">
        <f t="shared" si="5"/>
        <v>9740.3733945314652</v>
      </c>
      <c r="P75" s="13">
        <f>INDEX('PF Model'!$F$81:$K$81,1,$B75-2016)</f>
        <v>11751.601975328907</v>
      </c>
      <c r="Q75" s="13">
        <f>INDEX('PF Model'!$G$80:$L$80,1,$B75-2016)</f>
        <v>332.59131032759615</v>
      </c>
      <c r="R75" s="66">
        <f t="shared" si="6"/>
        <v>12084.193285656504</v>
      </c>
      <c r="S75" s="13">
        <v>0</v>
      </c>
      <c r="T75" s="166">
        <v>20175.539159211126</v>
      </c>
    </row>
    <row r="77" spans="1:20">
      <c r="I77" s="112">
        <f>I75/-H75</f>
        <v>42.739049764951865</v>
      </c>
      <c r="J77" t="s">
        <v>173</v>
      </c>
    </row>
    <row r="78" spans="1:20">
      <c r="I78" s="63">
        <f>A75+I77*365</f>
        <v>60341.753164207432</v>
      </c>
    </row>
    <row r="79" spans="1:20">
      <c r="I79" s="103">
        <f>YEARFRAC(I78,DATE(YEAR(I78), 1,1))+YEAR(I78)</f>
        <v>2065.2055555555557</v>
      </c>
    </row>
    <row r="1841" spans="1:1">
      <c r="A1841" s="63"/>
    </row>
    <row r="1842" spans="1:1">
      <c r="A1842" s="63"/>
    </row>
    <row r="1843" spans="1:1">
      <c r="A1843" s="63"/>
    </row>
    <row r="1844" spans="1:1">
      <c r="A1844" s="63"/>
    </row>
    <row r="1845" spans="1:1">
      <c r="A1845" s="63"/>
    </row>
    <row r="1846" spans="1:1">
      <c r="A1846" s="63"/>
    </row>
    <row r="1847" spans="1:1">
      <c r="A1847" s="63"/>
    </row>
    <row r="1848" spans="1:1">
      <c r="A1848" s="63"/>
    </row>
    <row r="1849" spans="1:1">
      <c r="A1849" s="63"/>
    </row>
    <row r="1850" spans="1:1">
      <c r="A1850" s="63"/>
    </row>
    <row r="1851" spans="1:1">
      <c r="A1851" s="63"/>
    </row>
    <row r="1852" spans="1:1">
      <c r="A1852" s="63"/>
    </row>
    <row r="1853" spans="1:1">
      <c r="A1853" s="63"/>
    </row>
    <row r="1854" spans="1:1">
      <c r="A1854" s="63"/>
    </row>
    <row r="1855" spans="1:1">
      <c r="A1855" s="63"/>
    </row>
    <row r="1856" spans="1:1">
      <c r="A1856" s="63"/>
    </row>
    <row r="1857" spans="1:1">
      <c r="A1857" s="63"/>
    </row>
    <row r="1858" spans="1:1">
      <c r="A1858" s="63"/>
    </row>
    <row r="1859" spans="1:1">
      <c r="A1859" s="63"/>
    </row>
    <row r="1860" spans="1:1">
      <c r="A1860" s="63"/>
    </row>
    <row r="1861" spans="1:1">
      <c r="A1861" s="63"/>
    </row>
    <row r="1862" spans="1:1">
      <c r="A1862" s="63"/>
    </row>
    <row r="1863" spans="1:1">
      <c r="A1863" s="63"/>
    </row>
    <row r="1864" spans="1:1">
      <c r="A1864" s="63"/>
    </row>
    <row r="1865" spans="1:1">
      <c r="A1865" s="63"/>
    </row>
    <row r="1866" spans="1:1">
      <c r="A1866" s="63"/>
    </row>
    <row r="1867" spans="1:1">
      <c r="A1867" s="63"/>
    </row>
    <row r="1868" spans="1:1">
      <c r="A1868" s="63"/>
    </row>
    <row r="1869" spans="1:1">
      <c r="A1869" s="63"/>
    </row>
    <row r="1870" spans="1:1">
      <c r="A1870" s="63"/>
    </row>
    <row r="1871" spans="1:1">
      <c r="A1871" s="63"/>
    </row>
    <row r="1872" spans="1:1">
      <c r="A1872" s="63"/>
    </row>
    <row r="1873" spans="1:1">
      <c r="A1873" s="63"/>
    </row>
    <row r="1874" spans="1:1">
      <c r="A1874" s="63"/>
    </row>
    <row r="1875" spans="1:1">
      <c r="A1875" s="63"/>
    </row>
    <row r="1876" spans="1:1">
      <c r="A1876" s="63"/>
    </row>
    <row r="1877" spans="1:1">
      <c r="A1877" s="63"/>
    </row>
    <row r="1878" spans="1:1">
      <c r="A1878" s="63"/>
    </row>
    <row r="1879" spans="1:1">
      <c r="A1879" s="63"/>
    </row>
    <row r="1880" spans="1:1">
      <c r="A1880" s="63"/>
    </row>
    <row r="1881" spans="1:1">
      <c r="A1881" s="63"/>
    </row>
    <row r="1882" spans="1:1">
      <c r="A1882" s="63"/>
    </row>
    <row r="1883" spans="1:1">
      <c r="A1883" s="63"/>
    </row>
    <row r="1884" spans="1:1">
      <c r="A1884" s="63"/>
    </row>
    <row r="1885" spans="1:1">
      <c r="A1885" s="63"/>
    </row>
    <row r="1886" spans="1:1">
      <c r="A1886" s="63"/>
    </row>
    <row r="1887" spans="1:1">
      <c r="A1887" s="63"/>
    </row>
    <row r="1888" spans="1:1">
      <c r="A1888" s="63"/>
    </row>
    <row r="1889" spans="1:1">
      <c r="A1889" s="63"/>
    </row>
    <row r="1890" spans="1:1">
      <c r="A1890" s="63"/>
    </row>
    <row r="1891" spans="1:1">
      <c r="A1891" s="63"/>
    </row>
    <row r="1892" spans="1:1">
      <c r="A1892" s="63"/>
    </row>
    <row r="1893" spans="1:1">
      <c r="A1893" s="63"/>
    </row>
    <row r="1894" spans="1:1">
      <c r="A1894" s="63"/>
    </row>
    <row r="1895" spans="1:1">
      <c r="A1895" s="63"/>
    </row>
    <row r="1896" spans="1:1">
      <c r="A1896" s="63"/>
    </row>
    <row r="1897" spans="1:1">
      <c r="A1897" s="63"/>
    </row>
    <row r="1898" spans="1:1">
      <c r="A1898" s="63"/>
    </row>
    <row r="1899" spans="1:1">
      <c r="A1899" s="63"/>
    </row>
    <row r="1900" spans="1:1">
      <c r="A1900" s="63"/>
    </row>
    <row r="1901" spans="1:1">
      <c r="A1901" s="63"/>
    </row>
    <row r="1902" spans="1:1">
      <c r="A1902" s="63"/>
    </row>
    <row r="1903" spans="1:1">
      <c r="A1903" s="63"/>
    </row>
    <row r="1904" spans="1:1">
      <c r="A1904" s="63"/>
    </row>
    <row r="1905" spans="1:1">
      <c r="A1905" s="63"/>
    </row>
    <row r="1906" spans="1:1">
      <c r="A1906" s="63"/>
    </row>
    <row r="1907" spans="1:1">
      <c r="A1907" s="63"/>
    </row>
    <row r="1908" spans="1:1">
      <c r="A1908" s="63"/>
    </row>
    <row r="1909" spans="1:1">
      <c r="A1909" s="63"/>
    </row>
    <row r="1910" spans="1:1">
      <c r="A1910" s="63"/>
    </row>
    <row r="1911" spans="1:1">
      <c r="A1911" s="63"/>
    </row>
    <row r="1912" spans="1:1">
      <c r="A1912" s="63"/>
    </row>
    <row r="1913" spans="1:1">
      <c r="A1913" s="63"/>
    </row>
    <row r="1914" spans="1:1">
      <c r="A1914" s="63"/>
    </row>
    <row r="1915" spans="1:1">
      <c r="A1915" s="63"/>
    </row>
    <row r="1916" spans="1:1">
      <c r="A1916" s="63"/>
    </row>
    <row r="1917" spans="1:1">
      <c r="A1917" s="63"/>
    </row>
    <row r="1918" spans="1:1">
      <c r="A1918" s="63"/>
    </row>
    <row r="1919" spans="1:1">
      <c r="A1919" s="63"/>
    </row>
    <row r="1920" spans="1:1">
      <c r="A1920" s="63"/>
    </row>
    <row r="1921" spans="1:1">
      <c r="A1921" s="63"/>
    </row>
    <row r="1922" spans="1:1">
      <c r="A1922" s="63"/>
    </row>
    <row r="1923" spans="1:1">
      <c r="A1923" s="63"/>
    </row>
    <row r="1924" spans="1:1">
      <c r="A1924" s="63"/>
    </row>
    <row r="1925" spans="1:1">
      <c r="A1925" s="63"/>
    </row>
    <row r="1926" spans="1:1">
      <c r="A1926" s="63"/>
    </row>
    <row r="1927" spans="1:1">
      <c r="A1927" s="63"/>
    </row>
    <row r="1928" spans="1:1">
      <c r="A1928" s="63"/>
    </row>
    <row r="1929" spans="1:1">
      <c r="A1929" s="63"/>
    </row>
    <row r="1930" spans="1:1">
      <c r="A1930" s="63"/>
    </row>
    <row r="1931" spans="1:1">
      <c r="A1931" s="63"/>
    </row>
    <row r="1932" spans="1:1">
      <c r="A1932" s="63"/>
    </row>
    <row r="1933" spans="1:1">
      <c r="A1933" s="63"/>
    </row>
    <row r="1934" spans="1:1">
      <c r="A1934" s="63"/>
    </row>
    <row r="1935" spans="1:1">
      <c r="A1935" s="63"/>
    </row>
    <row r="1936" spans="1:1">
      <c r="A1936" s="63"/>
    </row>
    <row r="1937" spans="1:1">
      <c r="A1937" s="63"/>
    </row>
    <row r="1938" spans="1:1">
      <c r="A1938" s="63"/>
    </row>
    <row r="1939" spans="1:1">
      <c r="A1939" s="63"/>
    </row>
    <row r="1940" spans="1:1">
      <c r="A1940" s="63"/>
    </row>
    <row r="1941" spans="1:1">
      <c r="A1941" s="63"/>
    </row>
    <row r="1942" spans="1:1">
      <c r="A1942" s="63"/>
    </row>
    <row r="1943" spans="1:1">
      <c r="A1943" s="63"/>
    </row>
    <row r="1944" spans="1:1">
      <c r="A1944" s="63"/>
    </row>
    <row r="1945" spans="1:1">
      <c r="A1945" s="63"/>
    </row>
    <row r="1946" spans="1:1">
      <c r="A1946" s="63"/>
    </row>
    <row r="1947" spans="1:1">
      <c r="A1947" s="63"/>
    </row>
    <row r="1948" spans="1:1">
      <c r="A1948" s="63"/>
    </row>
    <row r="1949" spans="1:1">
      <c r="A1949" s="63"/>
    </row>
    <row r="1950" spans="1:1">
      <c r="A1950" s="63"/>
    </row>
    <row r="1951" spans="1:1">
      <c r="A1951" s="63"/>
    </row>
    <row r="1952" spans="1:1">
      <c r="A1952" s="63"/>
    </row>
    <row r="1953" spans="1:1">
      <c r="A1953" s="63"/>
    </row>
    <row r="1954" spans="1:1">
      <c r="A1954" s="63"/>
    </row>
    <row r="1955" spans="1:1">
      <c r="A1955" s="63"/>
    </row>
    <row r="1956" spans="1:1">
      <c r="A1956" s="63"/>
    </row>
    <row r="1957" spans="1:1">
      <c r="A1957" s="63"/>
    </row>
    <row r="1958" spans="1:1">
      <c r="A1958" s="63"/>
    </row>
    <row r="1959" spans="1:1">
      <c r="A1959" s="63"/>
    </row>
    <row r="1960" spans="1:1">
      <c r="A1960" s="63"/>
    </row>
    <row r="1961" spans="1:1">
      <c r="A1961" s="63"/>
    </row>
    <row r="1962" spans="1:1">
      <c r="A1962" s="63"/>
    </row>
    <row r="1963" spans="1:1">
      <c r="A1963" s="63"/>
    </row>
    <row r="1964" spans="1:1">
      <c r="A1964" s="63"/>
    </row>
    <row r="1965" spans="1:1">
      <c r="A1965" s="63"/>
    </row>
    <row r="1966" spans="1:1">
      <c r="A1966" s="63"/>
    </row>
    <row r="1967" spans="1:1">
      <c r="A1967" s="63"/>
    </row>
    <row r="1968" spans="1:1">
      <c r="A1968" s="63"/>
    </row>
    <row r="1969" spans="1:1">
      <c r="A1969" s="63"/>
    </row>
    <row r="1970" spans="1:1">
      <c r="A1970" s="63"/>
    </row>
    <row r="1971" spans="1:1">
      <c r="A1971" s="63"/>
    </row>
    <row r="1972" spans="1:1">
      <c r="A1972" s="63"/>
    </row>
    <row r="1973" spans="1:1">
      <c r="A1973" s="63"/>
    </row>
    <row r="1974" spans="1:1">
      <c r="A1974" s="63"/>
    </row>
    <row r="1975" spans="1:1">
      <c r="A1975" s="63"/>
    </row>
    <row r="1976" spans="1:1">
      <c r="A1976" s="63"/>
    </row>
    <row r="1977" spans="1:1">
      <c r="A1977" s="63"/>
    </row>
    <row r="1978" spans="1:1">
      <c r="A1978" s="63"/>
    </row>
    <row r="1979" spans="1:1">
      <c r="A1979" s="63"/>
    </row>
    <row r="1980" spans="1:1">
      <c r="A1980" s="63"/>
    </row>
    <row r="1981" spans="1:1">
      <c r="A1981" s="63"/>
    </row>
    <row r="1982" spans="1:1">
      <c r="A1982" s="63"/>
    </row>
    <row r="1983" spans="1:1">
      <c r="A1983" s="63"/>
    </row>
    <row r="1984" spans="1:1">
      <c r="A1984" s="63"/>
    </row>
    <row r="1985" spans="1:1">
      <c r="A1985" s="63"/>
    </row>
    <row r="1986" spans="1:1">
      <c r="A1986" s="63"/>
    </row>
    <row r="1987" spans="1:1">
      <c r="A1987" s="63"/>
    </row>
    <row r="1988" spans="1:1">
      <c r="A1988" s="63"/>
    </row>
    <row r="1989" spans="1:1">
      <c r="A1989" s="63"/>
    </row>
    <row r="1990" spans="1:1">
      <c r="A1990" s="63"/>
    </row>
    <row r="1991" spans="1:1">
      <c r="A1991" s="63"/>
    </row>
    <row r="1992" spans="1:1">
      <c r="A1992" s="63"/>
    </row>
    <row r="1993" spans="1:1">
      <c r="A1993" s="63"/>
    </row>
    <row r="1994" spans="1:1">
      <c r="A1994" s="63"/>
    </row>
    <row r="1995" spans="1:1">
      <c r="A1995" s="63"/>
    </row>
    <row r="1996" spans="1:1">
      <c r="A1996" s="63"/>
    </row>
    <row r="1997" spans="1:1">
      <c r="A1997" s="63"/>
    </row>
    <row r="1998" spans="1:1">
      <c r="A1998" s="63"/>
    </row>
    <row r="1999" spans="1:1">
      <c r="A1999" s="63"/>
    </row>
    <row r="2000" spans="1:1">
      <c r="A2000" s="63"/>
    </row>
    <row r="2001" spans="1:1">
      <c r="A2001" s="63"/>
    </row>
    <row r="2002" spans="1:1">
      <c r="A2002" s="63"/>
    </row>
    <row r="2003" spans="1:1">
      <c r="A2003" s="63"/>
    </row>
    <row r="2004" spans="1:1">
      <c r="A2004" s="63"/>
    </row>
    <row r="2005" spans="1:1">
      <c r="A2005" s="63"/>
    </row>
    <row r="2006" spans="1:1">
      <c r="A2006" s="63"/>
    </row>
    <row r="2007" spans="1:1">
      <c r="A2007" s="63"/>
    </row>
    <row r="2008" spans="1:1">
      <c r="A2008" s="63"/>
    </row>
    <row r="2009" spans="1:1">
      <c r="A2009" s="63"/>
    </row>
    <row r="2010" spans="1:1">
      <c r="A2010" s="63"/>
    </row>
    <row r="2011" spans="1:1">
      <c r="A2011" s="63"/>
    </row>
    <row r="2012" spans="1:1">
      <c r="A2012" s="63"/>
    </row>
    <row r="2013" spans="1:1">
      <c r="A2013" s="63"/>
    </row>
    <row r="2014" spans="1:1">
      <c r="A2014" s="63"/>
    </row>
    <row r="2015" spans="1:1">
      <c r="A2015" s="63"/>
    </row>
    <row r="2016" spans="1:1">
      <c r="A2016" s="63"/>
    </row>
    <row r="2017" spans="1:1">
      <c r="A2017" s="63"/>
    </row>
    <row r="2018" spans="1:1">
      <c r="A2018" s="63"/>
    </row>
    <row r="2019" spans="1:1">
      <c r="A2019" s="63"/>
    </row>
    <row r="2020" spans="1:1">
      <c r="A2020" s="63"/>
    </row>
    <row r="2021" spans="1:1">
      <c r="A2021" s="63"/>
    </row>
    <row r="2022" spans="1:1">
      <c r="A2022" s="63"/>
    </row>
    <row r="2023" spans="1:1">
      <c r="A2023" s="63"/>
    </row>
    <row r="2024" spans="1:1">
      <c r="A2024" s="63"/>
    </row>
    <row r="2025" spans="1:1">
      <c r="A2025" s="63"/>
    </row>
    <row r="2026" spans="1:1">
      <c r="A2026" s="63"/>
    </row>
    <row r="2027" spans="1:1">
      <c r="A2027" s="63"/>
    </row>
    <row r="2028" spans="1:1">
      <c r="A2028" s="63"/>
    </row>
    <row r="2029" spans="1:1">
      <c r="A2029" s="63"/>
    </row>
    <row r="2030" spans="1:1">
      <c r="A2030" s="63"/>
    </row>
    <row r="2031" spans="1:1">
      <c r="A2031" s="63"/>
    </row>
    <row r="2032" spans="1:1">
      <c r="A2032" s="63"/>
    </row>
    <row r="2033" spans="1:1">
      <c r="A2033" s="63"/>
    </row>
    <row r="2034" spans="1:1">
      <c r="A2034" s="63"/>
    </row>
    <row r="2035" spans="1:1">
      <c r="A2035" s="63"/>
    </row>
    <row r="2036" spans="1:1">
      <c r="A2036" s="63"/>
    </row>
    <row r="2037" spans="1:1">
      <c r="A2037" s="63"/>
    </row>
    <row r="2038" spans="1:1">
      <c r="A2038" s="63"/>
    </row>
    <row r="2039" spans="1:1">
      <c r="A2039" s="63"/>
    </row>
    <row r="2040" spans="1:1">
      <c r="A2040" s="63"/>
    </row>
    <row r="2041" spans="1:1">
      <c r="A2041" s="63"/>
    </row>
    <row r="2042" spans="1:1">
      <c r="A2042" s="63"/>
    </row>
    <row r="2043" spans="1:1">
      <c r="A2043" s="63"/>
    </row>
    <row r="2044" spans="1:1">
      <c r="A2044" s="63"/>
    </row>
    <row r="2045" spans="1:1">
      <c r="A2045" s="63"/>
    </row>
    <row r="2046" spans="1:1">
      <c r="A2046" s="63"/>
    </row>
    <row r="2047" spans="1:1">
      <c r="A2047" s="63"/>
    </row>
    <row r="2048" spans="1:1">
      <c r="A2048" s="63"/>
    </row>
    <row r="2049" spans="1:1">
      <c r="A2049" s="63"/>
    </row>
    <row r="2050" spans="1:1">
      <c r="A2050" s="63"/>
    </row>
    <row r="2051" spans="1:1">
      <c r="A2051" s="63"/>
    </row>
    <row r="2052" spans="1:1">
      <c r="A2052" s="63"/>
    </row>
    <row r="2053" spans="1:1">
      <c r="A2053" s="63"/>
    </row>
    <row r="2054" spans="1:1">
      <c r="A2054" s="63"/>
    </row>
    <row r="2055" spans="1:1">
      <c r="A2055" s="63"/>
    </row>
    <row r="2056" spans="1:1">
      <c r="A2056" s="63"/>
    </row>
    <row r="2057" spans="1:1">
      <c r="A2057" s="63"/>
    </row>
    <row r="2058" spans="1:1">
      <c r="A2058" s="63"/>
    </row>
    <row r="2059" spans="1:1">
      <c r="A2059" s="63"/>
    </row>
    <row r="2060" spans="1:1">
      <c r="A2060" s="63"/>
    </row>
    <row r="2061" spans="1:1">
      <c r="A2061" s="63"/>
    </row>
    <row r="2062" spans="1:1">
      <c r="A2062" s="63"/>
    </row>
    <row r="2063" spans="1:1">
      <c r="A2063" s="63"/>
    </row>
    <row r="2064" spans="1:1">
      <c r="A2064" s="63"/>
    </row>
    <row r="2065" spans="1:1">
      <c r="A2065" s="63"/>
    </row>
    <row r="2066" spans="1:1">
      <c r="A2066" s="63"/>
    </row>
    <row r="2067" spans="1:1">
      <c r="A2067" s="63"/>
    </row>
    <row r="2068" spans="1:1">
      <c r="A2068" s="63"/>
    </row>
    <row r="2069" spans="1:1">
      <c r="A2069" s="63"/>
    </row>
    <row r="2070" spans="1:1">
      <c r="A2070" s="63"/>
    </row>
    <row r="2071" spans="1:1">
      <c r="A2071" s="63"/>
    </row>
    <row r="2072" spans="1:1">
      <c r="A2072" s="63"/>
    </row>
    <row r="2073" spans="1:1">
      <c r="A2073" s="63"/>
    </row>
    <row r="2074" spans="1:1">
      <c r="A2074" s="63"/>
    </row>
    <row r="2075" spans="1:1">
      <c r="A2075" s="63"/>
    </row>
    <row r="2076" spans="1:1">
      <c r="A2076" s="63"/>
    </row>
    <row r="2077" spans="1:1">
      <c r="A2077" s="63"/>
    </row>
    <row r="2078" spans="1:1">
      <c r="A2078" s="63"/>
    </row>
    <row r="2079" spans="1:1">
      <c r="A2079" s="63"/>
    </row>
    <row r="2080" spans="1:1">
      <c r="A2080" s="63"/>
    </row>
    <row r="2081" spans="1:1">
      <c r="A2081" s="63"/>
    </row>
    <row r="2082" spans="1:1">
      <c r="A2082" s="63"/>
    </row>
    <row r="2083" spans="1:1">
      <c r="A2083" s="63"/>
    </row>
    <row r="2084" spans="1:1">
      <c r="A2084" s="63"/>
    </row>
    <row r="2085" spans="1:1">
      <c r="A2085" s="63"/>
    </row>
    <row r="2086" spans="1:1">
      <c r="A2086" s="63"/>
    </row>
    <row r="2087" spans="1:1">
      <c r="A2087" s="63"/>
    </row>
    <row r="2088" spans="1:1">
      <c r="A2088" s="63"/>
    </row>
    <row r="2089" spans="1:1">
      <c r="A2089" s="63"/>
    </row>
    <row r="2090" spans="1:1">
      <c r="A2090" s="63"/>
    </row>
    <row r="2091" spans="1:1">
      <c r="A2091" s="63"/>
    </row>
    <row r="2092" spans="1:1">
      <c r="A2092" s="63"/>
    </row>
    <row r="2093" spans="1:1">
      <c r="A2093" s="63"/>
    </row>
    <row r="2094" spans="1:1">
      <c r="A2094" s="63"/>
    </row>
    <row r="2095" spans="1:1">
      <c r="A2095" s="63"/>
    </row>
    <row r="2096" spans="1:1">
      <c r="A2096" s="63"/>
    </row>
    <row r="2097" spans="1:1">
      <c r="A2097" s="63"/>
    </row>
    <row r="2098" spans="1:1">
      <c r="A2098" s="63"/>
    </row>
    <row r="2099" spans="1:1">
      <c r="A2099" s="63"/>
    </row>
    <row r="2100" spans="1:1">
      <c r="A2100" s="63"/>
    </row>
    <row r="2101" spans="1:1">
      <c r="A2101" s="63"/>
    </row>
    <row r="2102" spans="1:1">
      <c r="A2102" s="63"/>
    </row>
    <row r="2103" spans="1:1">
      <c r="A2103" s="63"/>
    </row>
    <row r="2104" spans="1:1">
      <c r="A2104" s="63"/>
    </row>
    <row r="2105" spans="1:1">
      <c r="A2105" s="63"/>
    </row>
    <row r="2106" spans="1:1">
      <c r="A2106" s="63"/>
    </row>
    <row r="2107" spans="1:1">
      <c r="A2107" s="63"/>
    </row>
    <row r="2108" spans="1:1">
      <c r="A2108" s="63"/>
    </row>
    <row r="2109" spans="1:1">
      <c r="A2109" s="63"/>
    </row>
    <row r="2110" spans="1:1">
      <c r="A2110" s="63"/>
    </row>
    <row r="2111" spans="1:1">
      <c r="A2111" s="63"/>
    </row>
    <row r="2112" spans="1:1">
      <c r="A2112" s="63"/>
    </row>
    <row r="2113" spans="1:1">
      <c r="A2113" s="63"/>
    </row>
    <row r="2114" spans="1:1">
      <c r="A2114" s="63"/>
    </row>
    <row r="2115" spans="1:1">
      <c r="A2115" s="63"/>
    </row>
    <row r="2116" spans="1:1">
      <c r="A2116" s="63"/>
    </row>
    <row r="2117" spans="1:1">
      <c r="A2117" s="63"/>
    </row>
    <row r="2118" spans="1:1">
      <c r="A2118" s="63"/>
    </row>
    <row r="2119" spans="1:1">
      <c r="A2119" s="63"/>
    </row>
    <row r="2120" spans="1:1">
      <c r="A2120" s="63"/>
    </row>
    <row r="2121" spans="1:1">
      <c r="A2121" s="63"/>
    </row>
    <row r="2122" spans="1:1">
      <c r="A2122" s="63"/>
    </row>
    <row r="2123" spans="1:1">
      <c r="A2123" s="63"/>
    </row>
    <row r="2124" spans="1:1">
      <c r="A2124" s="63"/>
    </row>
    <row r="2125" spans="1:1">
      <c r="A2125" s="63"/>
    </row>
    <row r="2126" spans="1:1">
      <c r="A2126" s="63"/>
    </row>
    <row r="2127" spans="1:1">
      <c r="A2127" s="63"/>
    </row>
    <row r="2128" spans="1:1">
      <c r="A2128" s="63"/>
    </row>
    <row r="2129" spans="1:1">
      <c r="A2129" s="63"/>
    </row>
    <row r="2130" spans="1:1">
      <c r="A2130" s="63"/>
    </row>
    <row r="2131" spans="1:1">
      <c r="A2131" s="63"/>
    </row>
    <row r="2132" spans="1:1">
      <c r="A2132" s="63"/>
    </row>
    <row r="2133" spans="1:1">
      <c r="A2133" s="63"/>
    </row>
    <row r="2134" spans="1:1">
      <c r="A2134" s="63"/>
    </row>
    <row r="2135" spans="1:1">
      <c r="A2135" s="63"/>
    </row>
    <row r="2136" spans="1:1">
      <c r="A2136" s="63"/>
    </row>
    <row r="2137" spans="1:1">
      <c r="A2137" s="63"/>
    </row>
    <row r="2138" spans="1:1">
      <c r="A2138" s="63"/>
    </row>
    <row r="2139" spans="1:1">
      <c r="A2139" s="63"/>
    </row>
  </sheetData>
  <mergeCells count="6">
    <mergeCell ref="S12:T12"/>
    <mergeCell ref="G12:I12"/>
    <mergeCell ref="D12:F12"/>
    <mergeCell ref="J12:L12"/>
    <mergeCell ref="M12:O12"/>
    <mergeCell ref="P12:R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G47"/>
  <sheetViews>
    <sheetView workbookViewId="0">
      <selection activeCell="B15" sqref="B15"/>
    </sheetView>
  </sheetViews>
  <sheetFormatPr defaultRowHeight="15"/>
  <sheetData>
    <row r="1" spans="1:7" ht="18.75">
      <c r="A1" s="18" t="s">
        <v>133</v>
      </c>
    </row>
    <row r="2" spans="1:7">
      <c r="A2" t="s">
        <v>48</v>
      </c>
    </row>
    <row r="3" spans="1:7">
      <c r="A3" t="s">
        <v>49</v>
      </c>
    </row>
    <row r="4" spans="1:7">
      <c r="A4" t="s">
        <v>254</v>
      </c>
    </row>
    <row r="5" spans="1:7">
      <c r="A5" t="s">
        <v>50</v>
      </c>
    </row>
    <row r="6" spans="1:7">
      <c r="A6" t="s">
        <v>258</v>
      </c>
    </row>
    <row r="7" spans="1:7">
      <c r="A7" t="s">
        <v>51</v>
      </c>
      <c r="B7" s="84"/>
      <c r="C7" s="84"/>
      <c r="D7" s="84"/>
      <c r="E7" s="84"/>
      <c r="F7" s="84"/>
    </row>
    <row r="9" spans="1:7" ht="17.25" customHeight="1">
      <c r="A9" s="386" t="s">
        <v>134</v>
      </c>
      <c r="B9" s="387"/>
      <c r="C9" s="387"/>
      <c r="D9" s="387"/>
      <c r="E9" s="387"/>
      <c r="F9" s="387"/>
      <c r="G9" s="387"/>
    </row>
    <row r="10" spans="1:7">
      <c r="A10" s="85" t="s">
        <v>132</v>
      </c>
      <c r="B10" s="96" t="s">
        <v>107</v>
      </c>
      <c r="C10" s="96" t="s">
        <v>108</v>
      </c>
      <c r="D10" s="96" t="s">
        <v>109</v>
      </c>
      <c r="E10" s="96" t="s">
        <v>110</v>
      </c>
      <c r="F10" s="96" t="s">
        <v>111</v>
      </c>
      <c r="G10" s="97" t="s">
        <v>285</v>
      </c>
    </row>
    <row r="11" spans="1:7">
      <c r="A11" s="86">
        <v>20</v>
      </c>
      <c r="B11" s="98">
        <v>0.13970073513624176</v>
      </c>
      <c r="C11" s="98">
        <v>7.0287286171525146E-2</v>
      </c>
      <c r="D11" s="98">
        <v>7.2225689246129349E-2</v>
      </c>
      <c r="E11" s="98">
        <v>7.1872903235894875E-2</v>
      </c>
      <c r="F11" s="98">
        <v>6.6363488147004296E-2</v>
      </c>
      <c r="G11" s="99">
        <v>0.18830386828032414</v>
      </c>
    </row>
    <row r="12" spans="1:7">
      <c r="A12" s="89">
        <v>25</v>
      </c>
      <c r="B12" s="100">
        <v>0.19758360551482407</v>
      </c>
      <c r="C12" s="100">
        <v>8.3581790691426142E-2</v>
      </c>
      <c r="D12" s="100">
        <v>9.1196224666158621E-2</v>
      </c>
      <c r="E12" s="100">
        <v>8.9743535811699207E-2</v>
      </c>
      <c r="F12" s="100">
        <v>8.7236881647836564E-2</v>
      </c>
      <c r="G12" s="101">
        <v>0.21453545484726053</v>
      </c>
    </row>
    <row r="13" spans="1:7">
      <c r="A13" s="86">
        <v>30</v>
      </c>
      <c r="B13" s="98">
        <v>0.25439113974714445</v>
      </c>
      <c r="C13" s="98">
        <v>9.687629521132711E-2</v>
      </c>
      <c r="D13" s="98">
        <v>0.10967613975529816</v>
      </c>
      <c r="E13" s="98">
        <v>0.10005119350140797</v>
      </c>
      <c r="F13" s="98">
        <v>0.10259058584229777</v>
      </c>
      <c r="G13" s="99">
        <v>0.27143337185722338</v>
      </c>
    </row>
    <row r="14" spans="1:7">
      <c r="A14" s="89">
        <v>35</v>
      </c>
      <c r="B14" s="100">
        <v>0.31118720234492642</v>
      </c>
      <c r="C14" s="100">
        <v>0.1101734849472491</v>
      </c>
      <c r="D14" s="100">
        <v>0.12867756238415065</v>
      </c>
      <c r="E14" s="100">
        <v>0.10875925298355202</v>
      </c>
      <c r="F14" s="100">
        <v>9.9417610466572326E-2</v>
      </c>
      <c r="G14" s="101">
        <v>0.31345983644734393</v>
      </c>
    </row>
    <row r="15" spans="1:7">
      <c r="A15" s="86">
        <v>40</v>
      </c>
      <c r="B15" s="98">
        <v>0.40504439986743362</v>
      </c>
      <c r="C15" s="98">
        <v>0.12347067468317106</v>
      </c>
      <c r="D15" s="98">
        <v>0.14282322830339925</v>
      </c>
      <c r="E15" s="98">
        <v>0.11119387062692239</v>
      </c>
      <c r="F15" s="98">
        <v>0.11146225420637142</v>
      </c>
      <c r="G15" s="99">
        <v>0.3377473808619183</v>
      </c>
    </row>
    <row r="16" spans="1:7">
      <c r="A16" s="89">
        <v>45</v>
      </c>
      <c r="B16" s="100">
        <v>0.5521574466341842</v>
      </c>
      <c r="C16" s="100">
        <v>0.29608590376290078</v>
      </c>
      <c r="D16" s="100">
        <v>0.12859484234781113</v>
      </c>
      <c r="E16" s="100">
        <v>0.20636149928374847</v>
      </c>
      <c r="F16" s="100">
        <v>0.12534023404441463</v>
      </c>
      <c r="G16" s="101">
        <v>0.37165633219216748</v>
      </c>
    </row>
    <row r="17" spans="1:7">
      <c r="A17" s="86">
        <v>50</v>
      </c>
      <c r="B17" s="98">
        <v>0.48574609409922026</v>
      </c>
      <c r="C17" s="98">
        <v>0.69943328466272359</v>
      </c>
      <c r="D17" s="98">
        <v>0.55792700306368492</v>
      </c>
      <c r="E17" s="98">
        <v>0.57975199779808739</v>
      </c>
      <c r="F17" s="98">
        <v>0.37780261493824607</v>
      </c>
      <c r="G17" s="99">
        <v>0.5183993634380627</v>
      </c>
    </row>
    <row r="18" spans="1:7">
      <c r="A18" s="89">
        <v>55</v>
      </c>
      <c r="B18" s="100">
        <v>0.70226755494360471</v>
      </c>
      <c r="C18" s="100">
        <v>0.81509243090243755</v>
      </c>
      <c r="D18" s="100">
        <v>1.1768282176817</v>
      </c>
      <c r="E18" s="100">
        <v>1.197946987910343</v>
      </c>
      <c r="F18" s="100">
        <v>1.2321264195549602</v>
      </c>
      <c r="G18" s="101">
        <v>1.0923191427777112</v>
      </c>
    </row>
    <row r="19" spans="1:7">
      <c r="A19" s="86">
        <v>60</v>
      </c>
      <c r="B19" s="98">
        <v>0.84758565809897179</v>
      </c>
      <c r="C19" s="98">
        <v>0.9568714286407124</v>
      </c>
      <c r="D19" s="98">
        <v>1.847629070633255</v>
      </c>
      <c r="E19" s="98">
        <v>1.8279629218573614</v>
      </c>
      <c r="F19" s="98">
        <v>1.4389251028158223</v>
      </c>
      <c r="G19" s="99">
        <v>1.7168295910726952</v>
      </c>
    </row>
    <row r="20" spans="1:7">
      <c r="A20" s="89">
        <v>65</v>
      </c>
      <c r="B20" s="100">
        <v>0.98998590154301247</v>
      </c>
      <c r="C20" s="100">
        <v>1.1530736796777383</v>
      </c>
      <c r="D20" s="100">
        <v>2.132853373798576</v>
      </c>
      <c r="E20" s="100">
        <v>2.2050591900617516</v>
      </c>
      <c r="F20" s="100">
        <v>2.1386661975465118</v>
      </c>
      <c r="G20" s="101">
        <v>2.3760139780132654</v>
      </c>
    </row>
    <row r="21" spans="1:7">
      <c r="A21" s="86">
        <v>70</v>
      </c>
      <c r="B21" s="98">
        <v>1.1324443665228918</v>
      </c>
      <c r="C21" s="98">
        <v>1.3493138478260964</v>
      </c>
      <c r="D21" s="98">
        <v>2.421980640759021</v>
      </c>
      <c r="E21" s="98">
        <v>2.5441529081060619</v>
      </c>
      <c r="F21" s="98">
        <v>2.4785083332139926</v>
      </c>
      <c r="G21" s="99">
        <v>2.766168656711645</v>
      </c>
    </row>
    <row r="22" spans="1:7">
      <c r="A22" s="89">
        <v>75</v>
      </c>
      <c r="B22" s="100">
        <v>1.3390519777222694</v>
      </c>
      <c r="C22" s="100">
        <v>1.8387552363667072</v>
      </c>
      <c r="D22" s="100">
        <v>2.7278972709036502</v>
      </c>
      <c r="E22" s="100">
        <v>2.9140702893267294</v>
      </c>
      <c r="F22" s="100">
        <v>2.8072369606692145</v>
      </c>
      <c r="G22" s="101">
        <v>3.1350135252527571</v>
      </c>
    </row>
    <row r="23" spans="1:7">
      <c r="A23" s="86">
        <v>80</v>
      </c>
      <c r="B23" s="98">
        <v>2.2991747841270262</v>
      </c>
      <c r="C23" s="98">
        <v>2.3665818394880187</v>
      </c>
      <c r="D23" s="98">
        <v>3.3035323046829843</v>
      </c>
      <c r="E23" s="98">
        <v>3.346482620854232</v>
      </c>
      <c r="F23" s="98">
        <v>3.1616169763618163</v>
      </c>
      <c r="G23" s="99">
        <v>3.5156824996290226</v>
      </c>
    </row>
    <row r="24" spans="1:7">
      <c r="A24" s="89">
        <v>85</v>
      </c>
      <c r="B24" s="100">
        <v>3.6282812043556176</v>
      </c>
      <c r="C24" s="100">
        <v>3.1549871632200355</v>
      </c>
      <c r="D24" s="100">
        <v>4.1055158082700247</v>
      </c>
      <c r="E24" s="100">
        <v>3.9823699038315374</v>
      </c>
      <c r="F24" s="100">
        <v>3.6799417718128136</v>
      </c>
      <c r="G24" s="101">
        <v>3.9546864642608224</v>
      </c>
    </row>
    <row r="25" spans="1:7">
      <c r="A25" s="86">
        <v>90</v>
      </c>
      <c r="B25" s="98">
        <v>4.98746024072127</v>
      </c>
      <c r="C25" s="98">
        <v>4.456219642281309</v>
      </c>
      <c r="D25" s="98">
        <v>5.4669438080894137</v>
      </c>
      <c r="E25" s="98">
        <v>5.3008289279397838</v>
      </c>
      <c r="F25" s="98">
        <v>4.5029344388289578</v>
      </c>
      <c r="G25" s="99">
        <v>4.5855160740980141</v>
      </c>
    </row>
    <row r="26" spans="1:7">
      <c r="A26" s="89">
        <v>95</v>
      </c>
      <c r="B26" s="100">
        <v>7.1023318931810859</v>
      </c>
      <c r="C26" s="100">
        <v>6.5368174554360694</v>
      </c>
      <c r="D26" s="100">
        <v>7.5649584049136234</v>
      </c>
      <c r="E26" s="100">
        <v>7.3895911649488832</v>
      </c>
      <c r="F26" s="100">
        <v>6.5748191497758564</v>
      </c>
      <c r="G26" s="101">
        <v>6.4098323460079403</v>
      </c>
    </row>
    <row r="27" spans="1:7">
      <c r="A27" s="86">
        <v>100</v>
      </c>
      <c r="B27" s="98">
        <v>8.5090619763017319</v>
      </c>
      <c r="C27" s="98">
        <v>7.8914646782553541</v>
      </c>
      <c r="D27" s="98">
        <v>8.9920775953407084</v>
      </c>
      <c r="E27" s="98">
        <v>8.8261952961544754</v>
      </c>
      <c r="F27" s="98">
        <v>7.9787004509043884</v>
      </c>
      <c r="G27" s="99">
        <v>8.0088800632610937</v>
      </c>
    </row>
    <row r="28" spans="1:7">
      <c r="A28" s="89">
        <v>105</v>
      </c>
      <c r="B28" s="100">
        <v>10.668352054450112</v>
      </c>
      <c r="C28" s="100">
        <v>9.9728519238145772</v>
      </c>
      <c r="D28" s="100">
        <v>11.150635797107409</v>
      </c>
      <c r="E28" s="100">
        <v>10.972301416106975</v>
      </c>
      <c r="F28" s="100">
        <v>10.097665850518093</v>
      </c>
      <c r="G28" s="101">
        <v>9.9825058621222453</v>
      </c>
    </row>
    <row r="29" spans="1:7">
      <c r="A29" s="86">
        <v>110</v>
      </c>
      <c r="B29" s="98">
        <v>12.074991647790206</v>
      </c>
      <c r="C29" s="98">
        <v>11.340964649556163</v>
      </c>
      <c r="D29" s="98">
        <v>12.599097014372745</v>
      </c>
      <c r="E29" s="98">
        <v>12.451746816732214</v>
      </c>
      <c r="F29" s="98">
        <v>11.571873899400305</v>
      </c>
      <c r="G29" s="99">
        <v>11.674246725933088</v>
      </c>
    </row>
    <row r="30" spans="1:7">
      <c r="A30" s="89">
        <v>115</v>
      </c>
      <c r="B30" s="100">
        <v>14.222569925757789</v>
      </c>
      <c r="C30" s="100">
        <v>13.460853985245977</v>
      </c>
      <c r="D30" s="100">
        <v>14.739629357255691</v>
      </c>
      <c r="E30" s="100">
        <v>14.597852936684729</v>
      </c>
      <c r="F30" s="100">
        <v>13.727306824281722</v>
      </c>
      <c r="G30" s="101">
        <v>13.672734247518255</v>
      </c>
    </row>
    <row r="31" spans="1:7">
      <c r="A31" s="86">
        <v>120</v>
      </c>
      <c r="B31" s="98">
        <v>15.615356237515277</v>
      </c>
      <c r="C31" s="98">
        <v>14.847499523952493</v>
      </c>
      <c r="D31" s="98">
        <v>16.213932846976547</v>
      </c>
      <c r="E31" s="98">
        <v>16.077592155778245</v>
      </c>
      <c r="F31" s="98">
        <v>15.2055621211514</v>
      </c>
      <c r="G31" s="99">
        <v>15.38318277737004</v>
      </c>
    </row>
    <row r="32" spans="1:7">
      <c r="A32" s="89">
        <v>125</v>
      </c>
      <c r="B32" s="100">
        <v>17.762593001266101</v>
      </c>
      <c r="C32" s="100">
        <v>16.983741068960672</v>
      </c>
      <c r="D32" s="100">
        <v>18.354172630534652</v>
      </c>
      <c r="E32" s="100">
        <v>18.223698275730751</v>
      </c>
      <c r="F32" s="100">
        <v>17.361288764734436</v>
      </c>
      <c r="G32" s="101">
        <v>17.175908504802432</v>
      </c>
    </row>
    <row r="33" spans="1:7">
      <c r="A33" s="86">
        <v>130</v>
      </c>
      <c r="B33" s="98">
        <v>19.172032163098994</v>
      </c>
      <c r="C33" s="98">
        <v>18.37866623154212</v>
      </c>
      <c r="D33" s="98">
        <v>19.828476120255505</v>
      </c>
      <c r="E33" s="98">
        <v>19.702849857887706</v>
      </c>
      <c r="F33" s="98">
        <v>18.839250342902492</v>
      </c>
      <c r="G33" s="99">
        <v>19.091518002617171</v>
      </c>
    </row>
    <row r="34" spans="1:7">
      <c r="A34" s="89">
        <v>135</v>
      </c>
      <c r="B34" s="100">
        <v>21.334315612358733</v>
      </c>
      <c r="C34" s="100">
        <v>20.514963329816787</v>
      </c>
      <c r="D34" s="100">
        <v>21.968715903813607</v>
      </c>
      <c r="E34" s="100">
        <v>21.849249796308495</v>
      </c>
      <c r="F34" s="100">
        <v>20.994976986485518</v>
      </c>
      <c r="G34" s="101">
        <v>20.884544143144474</v>
      </c>
    </row>
    <row r="35" spans="1:7">
      <c r="A35" s="86">
        <v>140</v>
      </c>
      <c r="B35" s="98">
        <v>22.744039671190041</v>
      </c>
      <c r="C35" s="98">
        <v>21.909888492398242</v>
      </c>
      <c r="D35" s="98">
        <v>23.443019393534463</v>
      </c>
      <c r="E35" s="98">
        <v>23.328401378465447</v>
      </c>
      <c r="F35" s="98">
        <v>22.472938564653585</v>
      </c>
      <c r="G35" s="99">
        <v>22.800153640959206</v>
      </c>
    </row>
    <row r="36" spans="1:7">
      <c r="A36" s="89">
        <v>145</v>
      </c>
      <c r="B36" s="100">
        <v>24.906323120449777</v>
      </c>
      <c r="C36" s="100">
        <v>24.046185590672884</v>
      </c>
      <c r="D36" s="100">
        <v>25.583259177092572</v>
      </c>
      <c r="E36" s="100">
        <v>25.474801316886232</v>
      </c>
      <c r="F36" s="100">
        <v>24.628665208236615</v>
      </c>
      <c r="G36" s="101">
        <v>24.593179781486512</v>
      </c>
    </row>
    <row r="37" spans="1:7">
      <c r="A37" s="86">
        <v>150</v>
      </c>
      <c r="B37" s="98">
        <v>26.316047179281096</v>
      </c>
      <c r="C37" s="98">
        <v>25.441110753254339</v>
      </c>
      <c r="D37" s="98">
        <v>27.057562666813421</v>
      </c>
      <c r="E37" s="98">
        <v>26.953952899043198</v>
      </c>
      <c r="F37" s="98">
        <v>26.106626786404682</v>
      </c>
      <c r="G37" s="99">
        <v>26.508789279301247</v>
      </c>
    </row>
    <row r="38" spans="1:7">
      <c r="A38" s="89">
        <v>155</v>
      </c>
      <c r="B38" s="100">
        <v>28.478330628540839</v>
      </c>
      <c r="C38" s="100">
        <v>27.577407851528999</v>
      </c>
      <c r="D38" s="100">
        <v>29.197802450371533</v>
      </c>
      <c r="E38" s="100">
        <v>29.100352837463991</v>
      </c>
      <c r="F38" s="100">
        <v>28.262353429987712</v>
      </c>
      <c r="G38" s="101">
        <v>27.996695166406649</v>
      </c>
    </row>
    <row r="39" spans="1:7">
      <c r="A39" s="86">
        <v>160</v>
      </c>
      <c r="B39" s="98">
        <v>29.88796419759159</v>
      </c>
      <c r="C39" s="98">
        <v>28.972277460843983</v>
      </c>
      <c r="D39" s="98">
        <v>30.672105940092383</v>
      </c>
      <c r="E39" s="98">
        <v>30.579504419620932</v>
      </c>
      <c r="F39" s="98">
        <v>29.740315008155772</v>
      </c>
      <c r="G39" s="99">
        <v>30.217424917643292</v>
      </c>
    </row>
    <row r="40" spans="1:7">
      <c r="A40" s="89">
        <v>165</v>
      </c>
      <c r="B40" s="100">
        <v>32.050532543849762</v>
      </c>
      <c r="C40" s="100">
        <v>31.108574559118633</v>
      </c>
      <c r="D40" s="100">
        <v>32.812638282975335</v>
      </c>
      <c r="E40" s="100">
        <v>32.725904358041724</v>
      </c>
      <c r="F40" s="100">
        <v>31.896041651738805</v>
      </c>
      <c r="G40" s="101">
        <v>31.705070563671363</v>
      </c>
    </row>
    <row r="41" spans="1:7">
      <c r="A41" s="86">
        <v>170</v>
      </c>
      <c r="B41" s="98">
        <v>33.459971705682641</v>
      </c>
      <c r="C41" s="98">
        <v>32.503499721700088</v>
      </c>
      <c r="D41" s="98">
        <v>34.286649213371341</v>
      </c>
      <c r="E41" s="98">
        <v>34.205349758666969</v>
      </c>
      <c r="F41" s="98">
        <v>33.374003229906862</v>
      </c>
      <c r="G41" s="99">
        <v>33.926360969080257</v>
      </c>
    </row>
    <row r="42" spans="1:7">
      <c r="A42" s="89">
        <v>175</v>
      </c>
      <c r="B42" s="100">
        <v>34.869695764513956</v>
      </c>
      <c r="C42" s="100">
        <v>33.898143060412018</v>
      </c>
      <c r="D42" s="100">
        <v>35.735402989961521</v>
      </c>
      <c r="E42" s="100">
        <v>35.660044995131457</v>
      </c>
      <c r="F42" s="100">
        <v>34.828498240312605</v>
      </c>
      <c r="G42" s="101">
        <v>35.413706202013401</v>
      </c>
    </row>
    <row r="43" spans="1:7">
      <c r="A43" s="86">
        <v>180</v>
      </c>
      <c r="B43" s="98">
        <v>36.279134926346842</v>
      </c>
      <c r="C43" s="98">
        <v>35.293068222993469</v>
      </c>
      <c r="D43" s="98">
        <v>37.183864207226854</v>
      </c>
      <c r="E43" s="98">
        <v>37.114740231595931</v>
      </c>
      <c r="F43" s="98">
        <v>36.282699532016736</v>
      </c>
      <c r="G43" s="99">
        <v>36.901051434946559</v>
      </c>
    </row>
    <row r="44" spans="1:7">
      <c r="A44" s="89">
        <v>185</v>
      </c>
      <c r="B44" s="100">
        <v>37.688858985178143</v>
      </c>
      <c r="C44" s="100">
        <v>36.687711561705406</v>
      </c>
      <c r="D44" s="100">
        <v>38.632325424492201</v>
      </c>
      <c r="E44" s="100">
        <v>38.569729286528712</v>
      </c>
      <c r="F44" s="100">
        <v>37.737194542422493</v>
      </c>
      <c r="G44" s="101">
        <v>38.388697080974637</v>
      </c>
    </row>
    <row r="45" spans="1:7">
      <c r="A45" s="86">
        <v>190</v>
      </c>
      <c r="B45" s="98">
        <v>39.098298147011036</v>
      </c>
      <c r="C45" s="98">
        <v>38.082636724286843</v>
      </c>
      <c r="D45" s="98">
        <v>40.08107920108236</v>
      </c>
      <c r="E45" s="98">
        <v>40.024424522993208</v>
      </c>
      <c r="F45" s="98">
        <v>39.191395834126624</v>
      </c>
      <c r="G45" s="99">
        <v>39.87604231390781</v>
      </c>
    </row>
    <row r="46" spans="1:7">
      <c r="A46" s="89">
        <v>195</v>
      </c>
      <c r="B46" s="100">
        <v>40.507737308843922</v>
      </c>
      <c r="C46" s="100">
        <v>39.477280062998801</v>
      </c>
      <c r="D46" s="100">
        <v>41.529540418347707</v>
      </c>
      <c r="E46" s="100">
        <v>41.479413577925989</v>
      </c>
      <c r="F46" s="100">
        <v>40.645890844532367</v>
      </c>
      <c r="G46" s="101">
        <v>41.363687959935874</v>
      </c>
    </row>
    <row r="47" spans="1:7">
      <c r="A47" s="86">
        <v>200</v>
      </c>
      <c r="B47" s="98">
        <v>41.917370877894683</v>
      </c>
      <c r="C47" s="98">
        <v>40.872390051650783</v>
      </c>
      <c r="D47" s="98">
        <v>42.978294194937881</v>
      </c>
      <c r="E47" s="98">
        <v>42.934108814390477</v>
      </c>
      <c r="F47" s="98">
        <v>42.100092136236491</v>
      </c>
      <c r="G47" s="99">
        <v>42.851033192869046</v>
      </c>
    </row>
  </sheetData>
  <mergeCells count="1">
    <mergeCell ref="A9:G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G48"/>
  <sheetViews>
    <sheetView workbookViewId="0"/>
  </sheetViews>
  <sheetFormatPr defaultRowHeight="15"/>
  <cols>
    <col min="7" max="7" width="9.7109375" customWidth="1"/>
  </cols>
  <sheetData>
    <row r="1" spans="1:7" ht="18.75">
      <c r="A1" s="18" t="s">
        <v>130</v>
      </c>
    </row>
    <row r="2" spans="1:7">
      <c r="A2" t="s">
        <v>140</v>
      </c>
    </row>
    <row r="3" spans="1:7">
      <c r="A3" t="s">
        <v>103</v>
      </c>
    </row>
    <row r="4" spans="1:7">
      <c r="A4" t="s">
        <v>254</v>
      </c>
    </row>
    <row r="5" spans="1:7">
      <c r="A5" t="s">
        <v>50</v>
      </c>
    </row>
    <row r="6" spans="1:7">
      <c r="A6" t="s">
        <v>258</v>
      </c>
    </row>
    <row r="7" spans="1:7">
      <c r="A7" t="s">
        <v>51</v>
      </c>
    </row>
    <row r="9" spans="1:7" ht="17.25" customHeight="1">
      <c r="A9" s="388" t="s">
        <v>131</v>
      </c>
      <c r="B9" s="389"/>
      <c r="C9" s="389"/>
      <c r="D9" s="389"/>
      <c r="E9" s="389"/>
      <c r="F9" s="389"/>
      <c r="G9" s="389"/>
    </row>
    <row r="10" spans="1:7">
      <c r="A10" s="85" t="s">
        <v>132</v>
      </c>
      <c r="B10" s="150" t="s">
        <v>107</v>
      </c>
      <c r="C10" s="150" t="s">
        <v>108</v>
      </c>
      <c r="D10" s="150" t="s">
        <v>109</v>
      </c>
      <c r="E10" s="150" t="s">
        <v>110</v>
      </c>
      <c r="F10" s="150" t="s">
        <v>111</v>
      </c>
      <c r="G10" s="151" t="s">
        <v>285</v>
      </c>
    </row>
    <row r="11" spans="1:7">
      <c r="A11" s="86">
        <v>20</v>
      </c>
      <c r="B11" s="87">
        <v>1.35782874402203</v>
      </c>
      <c r="C11" s="87">
        <v>1.3380972888781475</v>
      </c>
      <c r="D11" s="87">
        <v>1.3121809336897228</v>
      </c>
      <c r="E11" s="87">
        <v>1.2659474003167144</v>
      </c>
      <c r="F11" s="148">
        <v>1.1958634078265269</v>
      </c>
      <c r="G11" s="88">
        <v>1.1349912629441474</v>
      </c>
    </row>
    <row r="12" spans="1:7">
      <c r="A12" s="89">
        <v>25</v>
      </c>
      <c r="B12" s="90">
        <v>1.9488155610792481</v>
      </c>
      <c r="C12" s="90">
        <v>1.9285047071173795</v>
      </c>
      <c r="D12" s="90">
        <v>1.9035751337392524</v>
      </c>
      <c r="E12" s="90">
        <v>1.8594776250377385</v>
      </c>
      <c r="F12" s="90">
        <v>1.7874061870774491</v>
      </c>
      <c r="G12" s="91">
        <v>1.726278134088205</v>
      </c>
    </row>
    <row r="13" spans="1:7">
      <c r="A13" s="86">
        <v>30</v>
      </c>
      <c r="B13" s="87">
        <v>2.5399217452980616</v>
      </c>
      <c r="C13" s="87">
        <v>2.5189121253566116</v>
      </c>
      <c r="D13" s="87">
        <v>2.4950887832333488</v>
      </c>
      <c r="E13" s="87">
        <v>2.4528879930897967</v>
      </c>
      <c r="F13" s="87">
        <v>2.3790684457828757</v>
      </c>
      <c r="G13" s="88">
        <v>2.3174456015830005</v>
      </c>
    </row>
    <row r="14" spans="1:7">
      <c r="A14" s="89">
        <v>35</v>
      </c>
      <c r="B14" s="90">
        <v>3.1309365172960617</v>
      </c>
      <c r="C14" s="90">
        <v>3.1094387937308139</v>
      </c>
      <c r="D14" s="90">
        <v>3.0864829832828788</v>
      </c>
      <c r="E14" s="90">
        <v>3.046418217810821</v>
      </c>
      <c r="F14" s="90">
        <v>2.9706112250337977</v>
      </c>
      <c r="G14" s="91">
        <v>2.9087324727270576</v>
      </c>
    </row>
    <row r="15" spans="1:7">
      <c r="A15" s="86">
        <v>40</v>
      </c>
      <c r="B15" s="87">
        <v>3.7233345017548976</v>
      </c>
      <c r="C15" s="87">
        <v>3.7005340707816115</v>
      </c>
      <c r="D15" s="87">
        <v>3.6779966327769755</v>
      </c>
      <c r="E15" s="87">
        <v>3.6398285858628778</v>
      </c>
      <c r="F15" s="87">
        <v>3.562273483739224</v>
      </c>
      <c r="G15" s="88">
        <v>3.4998999402218529</v>
      </c>
    </row>
    <row r="16" spans="1:7">
      <c r="A16" s="89">
        <v>45</v>
      </c>
      <c r="B16" s="90">
        <v>4.3156128581877917</v>
      </c>
      <c r="C16" s="90">
        <v>4.2921797778813024</v>
      </c>
      <c r="D16" s="90">
        <v>4.2703968734030706</v>
      </c>
      <c r="E16" s="90">
        <v>4.2336403234913194</v>
      </c>
      <c r="F16" s="90">
        <v>4.1539357424446504</v>
      </c>
      <c r="G16" s="91">
        <v>4.0911868113659109</v>
      </c>
    </row>
    <row r="17" spans="1:7">
      <c r="A17" s="86">
        <v>50</v>
      </c>
      <c r="B17" s="87">
        <v>4.9085766064561716</v>
      </c>
      <c r="C17" s="87">
        <v>4.8839449852248009</v>
      </c>
      <c r="D17" s="87">
        <v>4.8630512484538793</v>
      </c>
      <c r="E17" s="87">
        <v>4.8281671882602524</v>
      </c>
      <c r="F17" s="87">
        <v>4.7460471424696298</v>
      </c>
      <c r="G17" s="88">
        <v>4.6825618567944449</v>
      </c>
    </row>
    <row r="18" spans="1:7">
      <c r="A18" s="89">
        <v>55</v>
      </c>
      <c r="B18" s="90">
        <v>5.5072089626275877</v>
      </c>
      <c r="C18" s="90">
        <v>5.4755906923244924</v>
      </c>
      <c r="D18" s="90">
        <v>5.4555859437035883</v>
      </c>
      <c r="E18" s="90">
        <v>5.4228141352074886</v>
      </c>
      <c r="F18" s="90">
        <v>5.3388173306725912</v>
      </c>
      <c r="G18" s="91">
        <v>5.2749491557664703</v>
      </c>
    </row>
    <row r="19" spans="1:7">
      <c r="A19" s="86">
        <v>60</v>
      </c>
      <c r="B19" s="87">
        <v>6.1059622302019845</v>
      </c>
      <c r="C19" s="87">
        <v>6.0682428153750463</v>
      </c>
      <c r="D19" s="87">
        <v>6.0482403187543987</v>
      </c>
      <c r="E19" s="87">
        <v>6.0173409999764225</v>
      </c>
      <c r="F19" s="87">
        <v>5.9314678156873049</v>
      </c>
      <c r="G19" s="88">
        <v>5.8672168288703643</v>
      </c>
    </row>
    <row r="20" spans="1:7">
      <c r="A20" s="89">
        <v>65</v>
      </c>
      <c r="B20" s="90">
        <v>6.7044695917974142</v>
      </c>
      <c r="C20" s="90">
        <v>6.6659652392812321</v>
      </c>
      <c r="D20" s="90">
        <v>6.6434346636911705</v>
      </c>
      <c r="E20" s="90">
        <v>6.6119879469236578</v>
      </c>
      <c r="F20" s="90">
        <v>6.5242380038902681</v>
      </c>
      <c r="G20" s="91">
        <v>6.4596041278423879</v>
      </c>
    </row>
    <row r="21" spans="1:7">
      <c r="A21" s="86">
        <v>70</v>
      </c>
      <c r="B21" s="87">
        <v>7.3028997971754634</v>
      </c>
      <c r="C21" s="87">
        <v>7.2636234636450379</v>
      </c>
      <c r="D21" s="87">
        <v>7.2417335831495748</v>
      </c>
      <c r="E21" s="87">
        <v>7.2107125773556744</v>
      </c>
      <c r="F21" s="87">
        <v>7.1168884889049817</v>
      </c>
      <c r="G21" s="88">
        <v>7.0518718009462837</v>
      </c>
    </row>
    <row r="22" spans="1:7">
      <c r="A22" s="89">
        <v>75</v>
      </c>
      <c r="B22" s="90">
        <v>7.9011230690805503</v>
      </c>
      <c r="C22" s="90">
        <v>7.8610248246491006</v>
      </c>
      <c r="D22" s="90">
        <v>7.8396901766816338</v>
      </c>
      <c r="E22" s="90">
        <v>7.8108755526525799</v>
      </c>
      <c r="F22" s="90">
        <v>7.7147310126419146</v>
      </c>
      <c r="G22" s="91">
        <v>7.6479307789321904</v>
      </c>
    </row>
    <row r="23" spans="1:7">
      <c r="A23" s="86">
        <v>80</v>
      </c>
      <c r="B23" s="87">
        <v>8.499345386006496</v>
      </c>
      <c r="C23" s="87">
        <v>8.4583477825604945</v>
      </c>
      <c r="D23" s="87">
        <v>8.4376953120260598</v>
      </c>
      <c r="E23" s="87">
        <v>8.4107580950570053</v>
      </c>
      <c r="F23" s="87">
        <v>8.3128565446083513</v>
      </c>
      <c r="G23" s="88">
        <v>8.2457778564795845</v>
      </c>
    </row>
    <row r="24" spans="1:7">
      <c r="A24" s="89">
        <v>85</v>
      </c>
      <c r="B24" s="90">
        <v>9.0960181275387395</v>
      </c>
      <c r="C24" s="90">
        <v>9.0557129605554252</v>
      </c>
      <c r="D24" s="90">
        <v>9.0355074685304562</v>
      </c>
      <c r="E24" s="90">
        <v>9.0106910882163067</v>
      </c>
      <c r="F24" s="90">
        <v>8.9108702539089162</v>
      </c>
      <c r="G24" s="91">
        <v>8.8435783383045319</v>
      </c>
    </row>
    <row r="25" spans="1:7">
      <c r="A25" s="86">
        <v>90</v>
      </c>
      <c r="B25" s="87">
        <v>9.6923379792451811</v>
      </c>
      <c r="C25" s="87">
        <v>9.6527801223818486</v>
      </c>
      <c r="D25" s="87">
        <v>9.6333681376739211</v>
      </c>
      <c r="E25" s="87">
        <v>9.6104322328602212</v>
      </c>
      <c r="F25" s="87">
        <v>9.5089345932723255</v>
      </c>
      <c r="G25" s="88">
        <v>9.4411884338370946</v>
      </c>
    </row>
    <row r="26" spans="1:7">
      <c r="A26" s="89">
        <v>95</v>
      </c>
      <c r="B26" s="90">
        <v>10.288064101121101</v>
      </c>
      <c r="C26" s="90">
        <v>10.248648934073591</v>
      </c>
      <c r="D26" s="90">
        <v>10.230577391500015</v>
      </c>
      <c r="E26" s="90">
        <v>10.210223799699582</v>
      </c>
      <c r="F26" s="90">
        <v>10.106808018135027</v>
      </c>
      <c r="G26" s="91">
        <v>10.038849552932064</v>
      </c>
    </row>
    <row r="27" spans="1:7">
      <c r="A27" s="86">
        <v>100</v>
      </c>
      <c r="B27" s="87">
        <v>10.88343714197355</v>
      </c>
      <c r="C27" s="87">
        <v>10.843948681363813</v>
      </c>
      <c r="D27" s="87">
        <v>10.826930748835681</v>
      </c>
      <c r="E27" s="87">
        <v>10.809028761477578</v>
      </c>
      <c r="F27" s="87">
        <v>10.704732044726004</v>
      </c>
      <c r="G27" s="88">
        <v>10.636320313877365</v>
      </c>
    </row>
    <row r="28" spans="1:7">
      <c r="A28" s="89">
        <v>105</v>
      </c>
      <c r="B28" s="90">
        <v>11.478216644193143</v>
      </c>
      <c r="C28" s="90">
        <v>11.438919840821807</v>
      </c>
      <c r="D28" s="90">
        <v>11.422745560762815</v>
      </c>
      <c r="E28" s="90">
        <v>11.407111159319621</v>
      </c>
      <c r="F28" s="90">
        <v>11.301469310543537</v>
      </c>
      <c r="G28" s="91">
        <v>11.233045656167645</v>
      </c>
    </row>
    <row r="29" spans="1:7">
      <c r="A29" s="86">
        <v>110</v>
      </c>
      <c r="B29" s="87">
        <v>12.072642874191605</v>
      </c>
      <c r="C29" s="87">
        <v>12.033322117148925</v>
      </c>
      <c r="D29" s="87">
        <v>12.018142296271272</v>
      </c>
      <c r="E29" s="87">
        <v>12.004900442123844</v>
      </c>
      <c r="F29" s="87">
        <v>11.897747792768977</v>
      </c>
      <c r="G29" s="88">
        <v>11.829072735931977</v>
      </c>
    </row>
    <row r="30" spans="1:7">
      <c r="A30" s="89">
        <v>115</v>
      </c>
      <c r="B30" s="90">
        <v>12.66647575675487</v>
      </c>
      <c r="C30" s="90">
        <v>12.62739562437317</v>
      </c>
      <c r="D30" s="90">
        <v>12.613241086562557</v>
      </c>
      <c r="E30" s="90">
        <v>12.602155176415772</v>
      </c>
      <c r="F30" s="90">
        <v>12.493491143835604</v>
      </c>
      <c r="G30" s="91">
        <v>12.424563730190854</v>
      </c>
    </row>
    <row r="31" spans="1:7">
      <c r="A31" s="86">
        <v>120</v>
      </c>
      <c r="B31" s="87">
        <v>13.259955175899332</v>
      </c>
      <c r="C31" s="87">
        <v>13.221020260158305</v>
      </c>
      <c r="D31" s="87">
        <v>13.207921631532457</v>
      </c>
      <c r="E31" s="87">
        <v>13.199237136259743</v>
      </c>
      <c r="F31" s="87">
        <v>13.088940019510357</v>
      </c>
      <c r="G31" s="88">
        <v>13.019879343717632</v>
      </c>
    </row>
    <row r="32" spans="1:7">
      <c r="A32" s="89">
        <v>125</v>
      </c>
      <c r="B32" s="90">
        <v>13.852961141812557</v>
      </c>
      <c r="C32" s="90">
        <v>13.814076284727683</v>
      </c>
      <c r="D32" s="90">
        <v>13.802063968899228</v>
      </c>
      <c r="E32" s="90">
        <v>13.795664123424508</v>
      </c>
      <c r="F32" s="90">
        <v>13.683974050023137</v>
      </c>
      <c r="G32" s="91">
        <v>13.614538804767077</v>
      </c>
    </row>
    <row r="33" spans="1:7">
      <c r="A33" s="86">
        <v>130</v>
      </c>
      <c r="B33" s="87">
        <v>14.445374047096747</v>
      </c>
      <c r="C33" s="87">
        <v>14.406803268279074</v>
      </c>
      <c r="D33" s="87">
        <v>14.395908107686251</v>
      </c>
      <c r="E33" s="87">
        <v>14.391677320602744</v>
      </c>
      <c r="F33" s="87">
        <v>14.278473200679949</v>
      </c>
      <c r="G33" s="88">
        <v>14.208782583171137</v>
      </c>
    </row>
    <row r="34" spans="1:7">
      <c r="A34" s="89">
        <v>135</v>
      </c>
      <c r="B34" s="90">
        <v>15.037313690347368</v>
      </c>
      <c r="C34" s="90">
        <v>14.99896182188535</v>
      </c>
      <c r="D34" s="90">
        <v>14.989214207772841</v>
      </c>
      <c r="E34" s="90">
        <v>14.987396984807255</v>
      </c>
      <c r="F34" s="90">
        <v>14.872677624642044</v>
      </c>
      <c r="G34" s="91">
        <v>14.802730577983024</v>
      </c>
    </row>
    <row r="35" spans="1:7">
      <c r="A35" s="86">
        <v>140</v>
      </c>
      <c r="B35" s="87">
        <v>15.628899487783841</v>
      </c>
      <c r="C35" s="87">
        <v>15.590791153202991</v>
      </c>
      <c r="D35" s="87">
        <v>15.582221940376982</v>
      </c>
      <c r="E35" s="87">
        <v>15.582582518435373</v>
      </c>
      <c r="F35" s="87">
        <v>15.466347336277765</v>
      </c>
      <c r="G35" s="88">
        <v>15.396142907136982</v>
      </c>
    </row>
    <row r="36" spans="1:7">
      <c r="A36" s="89">
        <v>145</v>
      </c>
      <c r="B36" s="90">
        <v>16.219892511378138</v>
      </c>
      <c r="C36" s="90">
        <v>16.182052235846161</v>
      </c>
      <c r="D36" s="90">
        <v>16.174691803183393</v>
      </c>
      <c r="E36" s="90">
        <v>16.177474351918789</v>
      </c>
      <c r="F36" s="90">
        <v>16.059722153689169</v>
      </c>
      <c r="G36" s="91">
        <v>15.989259284763147</v>
      </c>
    </row>
    <row r="37" spans="1:7">
      <c r="A37" s="86">
        <v>150</v>
      </c>
      <c r="B37" s="87">
        <v>16.810531497960625</v>
      </c>
      <c r="C37" s="87">
        <v>16.772983914930052</v>
      </c>
      <c r="D37" s="87">
        <v>16.766863129604648</v>
      </c>
      <c r="E37" s="87">
        <v>16.771832221996796</v>
      </c>
      <c r="F37" s="87">
        <v>16.652562426303795</v>
      </c>
      <c r="G37" s="88">
        <v>16.581840164667007</v>
      </c>
    </row>
    <row r="38" spans="1:7">
      <c r="A38" s="89">
        <v>155</v>
      </c>
      <c r="B38" s="90">
        <v>17.400577901898593</v>
      </c>
      <c r="C38" s="90">
        <v>17.363347526610124</v>
      </c>
      <c r="D38" s="90">
        <v>17.358496755130883</v>
      </c>
      <c r="E38" s="90">
        <v>17.365896224759112</v>
      </c>
      <c r="F38" s="90">
        <v>17.245107637164512</v>
      </c>
      <c r="G38" s="91">
        <v>17.174124925107456</v>
      </c>
    </row>
    <row r="39" spans="1:7">
      <c r="A39" s="86">
        <v>160</v>
      </c>
      <c r="B39" s="87">
        <v>17.990270077627084</v>
      </c>
      <c r="C39" s="87">
        <v>17.953381553460265</v>
      </c>
      <c r="D39" s="87">
        <v>17.949831675369257</v>
      </c>
      <c r="E39" s="87">
        <v>17.959426431287007</v>
      </c>
      <c r="F39" s="87">
        <v>17.83711847075805</v>
      </c>
      <c r="G39" s="88">
        <v>17.765874355761213</v>
      </c>
    </row>
    <row r="40" spans="1:7">
      <c r="A40" s="89">
        <v>165</v>
      </c>
      <c r="B40" s="90">
        <v>18.579488800124334</v>
      </c>
      <c r="C40" s="90">
        <v>18.542847694177237</v>
      </c>
      <c r="D40" s="90">
        <v>18.540748350286247</v>
      </c>
      <c r="E40" s="90">
        <v>18.552662603328223</v>
      </c>
      <c r="F40" s="90">
        <v>18.428834075068075</v>
      </c>
      <c r="G40" s="91">
        <v>18.357327499015941</v>
      </c>
    </row>
    <row r="41" spans="1:7">
      <c r="A41" s="86">
        <v>170</v>
      </c>
      <c r="B41" s="87">
        <v>19.168115226783225</v>
      </c>
      <c r="C41" s="87">
        <v>19.131984068793631</v>
      </c>
      <c r="D41" s="87">
        <v>19.131127577670799</v>
      </c>
      <c r="E41" s="87">
        <v>19.145484818211923</v>
      </c>
      <c r="F41" s="87">
        <v>19.020015469640505</v>
      </c>
      <c r="G41" s="88">
        <v>18.948364791689666</v>
      </c>
    </row>
    <row r="42" spans="1:7">
      <c r="A42" s="89">
        <v>175</v>
      </c>
      <c r="B42" s="90">
        <v>19.756387138426483</v>
      </c>
      <c r="C42" s="90">
        <v>19.720552738547493</v>
      </c>
      <c r="D42" s="90">
        <v>19.721207846404909</v>
      </c>
      <c r="E42" s="90">
        <v>19.737773487626125</v>
      </c>
      <c r="F42" s="90">
        <v>19.610901467399849</v>
      </c>
      <c r="G42" s="91">
        <v>19.538867006488601</v>
      </c>
    </row>
    <row r="43" spans="1:7">
      <c r="A43" s="86">
        <v>180</v>
      </c>
      <c r="B43" s="87">
        <v>20.344066945429049</v>
      </c>
      <c r="C43" s="87">
        <v>20.308791460930145</v>
      </c>
      <c r="D43" s="87">
        <v>20.310750836509278</v>
      </c>
      <c r="E43" s="87">
        <v>20.329648367053796</v>
      </c>
      <c r="F43" s="87">
        <v>20.20125342295119</v>
      </c>
      <c r="G43" s="88">
        <v>20.128953538642154</v>
      </c>
    </row>
    <row r="44" spans="1:7">
      <c r="A44" s="89">
        <v>185</v>
      </c>
      <c r="B44" s="90">
        <v>20.931392046218313</v>
      </c>
      <c r="C44" s="90">
        <v>20.896462659720907</v>
      </c>
      <c r="D44" s="90">
        <v>20.899875750194976</v>
      </c>
      <c r="E44" s="90">
        <v>20.921228877652815</v>
      </c>
      <c r="F44" s="90">
        <v>20.791309814159842</v>
      </c>
      <c r="G44" s="91">
        <v>20.718743447525441</v>
      </c>
    </row>
    <row r="45" spans="1:7">
      <c r="A45" s="86">
        <v>190</v>
      </c>
      <c r="B45" s="87">
        <v>21.518125233564561</v>
      </c>
      <c r="C45" s="87">
        <v>21.483803729869809</v>
      </c>
      <c r="D45" s="87">
        <v>21.488701451884701</v>
      </c>
      <c r="E45" s="87">
        <v>21.512276093530371</v>
      </c>
      <c r="F45" s="87">
        <v>21.380832330690094</v>
      </c>
      <c r="G45" s="88">
        <v>21.307998530428897</v>
      </c>
    </row>
    <row r="46" spans="1:7">
      <c r="A46" s="89">
        <v>195</v>
      </c>
      <c r="B46" s="90">
        <v>22.104385158877225</v>
      </c>
      <c r="C46" s="90">
        <v>22.070577457697468</v>
      </c>
      <c r="D46" s="90">
        <v>22.076990128290213</v>
      </c>
      <c r="E46" s="90">
        <v>22.103028773408294</v>
      </c>
      <c r="F46" s="90">
        <v>21.970059115348054</v>
      </c>
      <c r="G46" s="91">
        <v>21.896956822126466</v>
      </c>
    </row>
    <row r="47" spans="1:7">
      <c r="A47" s="92">
        <v>200</v>
      </c>
      <c r="B47" s="93">
        <v>22.690290091189748</v>
      </c>
      <c r="C47" s="93">
        <v>22.65702087561262</v>
      </c>
      <c r="D47" s="93">
        <v>22.664979423797053</v>
      </c>
      <c r="E47" s="93">
        <v>22.693248325735738</v>
      </c>
      <c r="F47" s="93">
        <v>22.558752192857217</v>
      </c>
      <c r="G47" s="94">
        <v>22.485380455779818</v>
      </c>
    </row>
    <row r="48" spans="1:7">
      <c r="A48" s="95"/>
      <c r="B48" s="95"/>
      <c r="C48" s="95"/>
      <c r="D48" s="95"/>
      <c r="E48" s="95"/>
      <c r="F48" s="95"/>
    </row>
  </sheetData>
  <mergeCells count="1">
    <mergeCell ref="A9:G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I2136"/>
  <sheetViews>
    <sheetView workbookViewId="0">
      <selection activeCell="A11" sqref="A11"/>
    </sheetView>
  </sheetViews>
  <sheetFormatPr defaultRowHeight="15"/>
  <cols>
    <col min="1" max="1" width="10.85546875" customWidth="1"/>
    <col min="3" max="3" width="9.7109375" bestFit="1" customWidth="1"/>
    <col min="4" max="4" width="9.7109375" customWidth="1"/>
    <col min="5" max="5" width="9.42578125" bestFit="1" customWidth="1"/>
    <col min="6" max="6" width="10.5703125" customWidth="1"/>
    <col min="7" max="8" width="9.5703125" bestFit="1" customWidth="1"/>
    <col min="9" max="9" width="9.7109375" customWidth="1"/>
  </cols>
  <sheetData>
    <row r="1" spans="1:9" ht="18.75">
      <c r="A1" s="18" t="s">
        <v>573</v>
      </c>
    </row>
    <row r="3" spans="1:9" ht="15.75">
      <c r="A3" s="21" t="s">
        <v>167</v>
      </c>
    </row>
    <row r="4" spans="1:9">
      <c r="A4" t="s">
        <v>168</v>
      </c>
    </row>
    <row r="6" spans="1:9">
      <c r="C6" s="36" t="s">
        <v>165</v>
      </c>
      <c r="F6" s="63" t="e">
        <f>INDEX($A11:$A72,MATCH(0,F11:F72,0))</f>
        <v>#N/A</v>
      </c>
    </row>
    <row r="7" spans="1:9">
      <c r="C7" s="36" t="s">
        <v>166</v>
      </c>
      <c r="F7" s="103" t="e">
        <f>YEARFRAC(F6,DATE(YEAR(F6), 1,1))+YEAR(F6)</f>
        <v>#N/A</v>
      </c>
    </row>
    <row r="8" spans="1:9" ht="7.5" customHeight="1"/>
    <row r="9" spans="1:9">
      <c r="C9" s="47"/>
      <c r="D9" s="384" t="s">
        <v>574</v>
      </c>
      <c r="E9" s="384"/>
      <c r="F9" s="385"/>
      <c r="G9" s="383" t="s">
        <v>575</v>
      </c>
      <c r="H9" s="383"/>
      <c r="I9" s="383"/>
    </row>
    <row r="10" spans="1:9" ht="75">
      <c r="A10" s="14" t="s">
        <v>113</v>
      </c>
      <c r="B10" s="14" t="s">
        <v>114</v>
      </c>
      <c r="C10" s="67" t="s">
        <v>115</v>
      </c>
      <c r="D10" s="64" t="s">
        <v>123</v>
      </c>
      <c r="E10" s="64" t="s">
        <v>121</v>
      </c>
      <c r="F10" s="65" t="s">
        <v>117</v>
      </c>
      <c r="G10" s="111" t="s">
        <v>161</v>
      </c>
      <c r="H10" s="14" t="s">
        <v>164</v>
      </c>
      <c r="I10" s="67" t="s">
        <v>162</v>
      </c>
    </row>
    <row r="11" spans="1:9">
      <c r="A11" s="63">
        <v>42916</v>
      </c>
      <c r="B11">
        <f>IF(MONTH(A11)&gt;6, YEAR(A11)+1, YEAR(A11))</f>
        <v>2017</v>
      </c>
      <c r="C11" s="68">
        <f>(A11-DATE(B11-1,6,30))/(DATE(B11,6,30)-DATE(B11-1, 6, 30))</f>
        <v>1</v>
      </c>
      <c r="D11" s="34">
        <f>INDEX('HB 115'!$B$57:$G$57,1,$B11-2016)</f>
        <v>8647.8000000000011</v>
      </c>
      <c r="E11" s="34">
        <f>INDEX('HB 115'!$B$55:$G$55,1,$B11-2016)+INDEX('HB 115'!$B$58:$G$58,1,$B11-2016)+INDEX('HB 115'!$B$59:$G$59,1,$B11-2016)</f>
        <v>-774.51540000000034</v>
      </c>
      <c r="F11" s="66">
        <f>MAX(0,D11+E11*$C11)</f>
        <v>7873.2846000000009</v>
      </c>
      <c r="G11" s="13">
        <f>INDEX('PF Model'!$F$117:$K$117,1,$B11-2016)</f>
        <v>9266</v>
      </c>
      <c r="H11" s="13">
        <f>INDEX('PF Model'!$G$116:$L$116,1,$B11-2016)</f>
        <v>538.93521988996054</v>
      </c>
      <c r="I11" s="66">
        <f>MAX(0,G11+H11*$C11)</f>
        <v>9804.9352198899614</v>
      </c>
    </row>
    <row r="12" spans="1:9">
      <c r="A12" s="63">
        <v>42931</v>
      </c>
      <c r="B12">
        <f t="shared" ref="B12:B72" si="0">IF(MONTH(A12)&gt;6, YEAR(A12)+1, YEAR(A12))</f>
        <v>2018</v>
      </c>
      <c r="C12" s="68">
        <f t="shared" ref="C12:C72" si="1">(A12-DATE(B12-1,6,30))/(DATE(B12,6,30)-DATE(B12-1, 6, 30))</f>
        <v>4.1095890410958902E-2</v>
      </c>
      <c r="D12" s="34">
        <f>INDEX('HB 115'!$B$57:$G$57,1,$B12-2016)</f>
        <v>7873.2846000000009</v>
      </c>
      <c r="E12" s="34">
        <f>INDEX('HB 115'!$B$55:$G$55,1,$B12-2016)+INDEX('HB 115'!$B$58:$G$58,1,$B12-2016)+INDEX('HB 115'!$B$59:$G$59,1,$B12-2016)</f>
        <v>-1572.1997425389147</v>
      </c>
      <c r="F12" s="66">
        <f t="shared" ref="F12:F72" si="2">MAX(0,D12+E12*$C12)</f>
        <v>7808.673651676484</v>
      </c>
      <c r="G12" s="13">
        <f>INDEX('PF Model'!$F$117:$K$117,1,$B12-2016)</f>
        <v>9804.9352198899614</v>
      </c>
      <c r="H12" s="13">
        <f>INDEX('PF Model'!$G$116:$L$116,1,$B12-2016)</f>
        <v>364.02704202089751</v>
      </c>
      <c r="I12" s="66">
        <f t="shared" ref="I12:I72" si="3">MAX(0,G12+H12*$C12)</f>
        <v>9819.8952353154782</v>
      </c>
    </row>
    <row r="13" spans="1:9">
      <c r="A13" s="63">
        <v>42962</v>
      </c>
      <c r="B13">
        <f t="shared" si="0"/>
        <v>2018</v>
      </c>
      <c r="C13" s="68">
        <f t="shared" si="1"/>
        <v>0.12602739726027398</v>
      </c>
      <c r="D13" s="34">
        <f>INDEX('HB 115'!$B$57:$G$57,1,$B13-2016)</f>
        <v>7873.2846000000009</v>
      </c>
      <c r="E13" s="34">
        <f>INDEX('HB 115'!$B$55:$G$55,1,$B13-2016)+INDEX('HB 115'!$B$58:$G$58,1,$B13-2016)+INDEX('HB 115'!$B$59:$G$59,1,$B13-2016)</f>
        <v>-1572.1997425389147</v>
      </c>
      <c r="F13" s="66">
        <f t="shared" si="2"/>
        <v>7675.1443584745484</v>
      </c>
      <c r="G13" s="13">
        <f>INDEX('PF Model'!$F$117:$K$117,1,$B13-2016)</f>
        <v>9804.9352198899614</v>
      </c>
      <c r="H13" s="13">
        <f>INDEX('PF Model'!$G$116:$L$116,1,$B13-2016)</f>
        <v>364.02704202089751</v>
      </c>
      <c r="I13" s="66">
        <f t="shared" si="3"/>
        <v>9850.812600528212</v>
      </c>
    </row>
    <row r="14" spans="1:9">
      <c r="A14" s="63">
        <v>42993</v>
      </c>
      <c r="B14">
        <f t="shared" si="0"/>
        <v>2018</v>
      </c>
      <c r="C14" s="68">
        <f t="shared" si="1"/>
        <v>0.21095890410958903</v>
      </c>
      <c r="D14" s="34">
        <f>INDEX('HB 115'!$B$57:$G$57,1,$B14-2016)</f>
        <v>7873.2846000000009</v>
      </c>
      <c r="E14" s="34">
        <f>INDEX('HB 115'!$B$55:$G$55,1,$B14-2016)+INDEX('HB 115'!$B$58:$G$58,1,$B14-2016)+INDEX('HB 115'!$B$59:$G$59,1,$B14-2016)</f>
        <v>-1572.1997425389147</v>
      </c>
      <c r="F14" s="66">
        <f t="shared" si="2"/>
        <v>7541.6150652726137</v>
      </c>
      <c r="G14" s="13">
        <f>INDEX('PF Model'!$F$117:$K$117,1,$B14-2016)</f>
        <v>9804.9352198899614</v>
      </c>
      <c r="H14" s="13">
        <f>INDEX('PF Model'!$G$116:$L$116,1,$B14-2016)</f>
        <v>364.02704202089751</v>
      </c>
      <c r="I14" s="66">
        <f t="shared" si="3"/>
        <v>9881.7299657409458</v>
      </c>
    </row>
    <row r="15" spans="1:9">
      <c r="A15" s="63">
        <v>43023</v>
      </c>
      <c r="B15">
        <f t="shared" si="0"/>
        <v>2018</v>
      </c>
      <c r="C15" s="68">
        <f t="shared" si="1"/>
        <v>0.29315068493150687</v>
      </c>
      <c r="D15" s="34">
        <f>INDEX('HB 115'!$B$57:$G$57,1,$B15-2016)</f>
        <v>7873.2846000000009</v>
      </c>
      <c r="E15" s="34">
        <f>INDEX('HB 115'!$B$55:$G$55,1,$B15-2016)+INDEX('HB 115'!$B$58:$G$58,1,$B15-2016)+INDEX('HB 115'!$B$59:$G$59,1,$B15-2016)</f>
        <v>-1572.1997425389147</v>
      </c>
      <c r="F15" s="66">
        <f t="shared" si="2"/>
        <v>7412.3931686255792</v>
      </c>
      <c r="G15" s="13">
        <f>INDEX('PF Model'!$F$117:$K$117,1,$B15-2016)</f>
        <v>9804.9352198899614</v>
      </c>
      <c r="H15" s="13">
        <f>INDEX('PF Model'!$G$116:$L$116,1,$B15-2016)</f>
        <v>364.02704202089751</v>
      </c>
      <c r="I15" s="66">
        <f t="shared" si="3"/>
        <v>9911.6499965919775</v>
      </c>
    </row>
    <row r="16" spans="1:9">
      <c r="A16" s="63">
        <v>43054</v>
      </c>
      <c r="B16">
        <f t="shared" si="0"/>
        <v>2018</v>
      </c>
      <c r="C16" s="68">
        <f t="shared" si="1"/>
        <v>0.37808219178082192</v>
      </c>
      <c r="D16" s="34">
        <f>INDEX('HB 115'!$B$57:$G$57,1,$B16-2016)</f>
        <v>7873.2846000000009</v>
      </c>
      <c r="E16" s="34">
        <f>INDEX('HB 115'!$B$55:$G$55,1,$B16-2016)+INDEX('HB 115'!$B$58:$G$58,1,$B16-2016)+INDEX('HB 115'!$B$59:$G$59,1,$B16-2016)</f>
        <v>-1572.1997425389147</v>
      </c>
      <c r="F16" s="66">
        <f t="shared" si="2"/>
        <v>7278.8638754236435</v>
      </c>
      <c r="G16" s="13">
        <f>INDEX('PF Model'!$F$117:$K$117,1,$B16-2016)</f>
        <v>9804.9352198899614</v>
      </c>
      <c r="H16" s="13">
        <f>INDEX('PF Model'!$G$116:$L$116,1,$B16-2016)</f>
        <v>364.02704202089751</v>
      </c>
      <c r="I16" s="66">
        <f t="shared" si="3"/>
        <v>9942.5673618047113</v>
      </c>
    </row>
    <row r="17" spans="1:9">
      <c r="A17" s="63">
        <v>43084</v>
      </c>
      <c r="B17">
        <f t="shared" si="0"/>
        <v>2018</v>
      </c>
      <c r="C17" s="68">
        <f t="shared" si="1"/>
        <v>0.46027397260273972</v>
      </c>
      <c r="D17" s="34">
        <f>INDEX('HB 115'!$B$57:$G$57,1,$B17-2016)</f>
        <v>7873.2846000000009</v>
      </c>
      <c r="E17" s="34">
        <f>INDEX('HB 115'!$B$55:$G$55,1,$B17-2016)+INDEX('HB 115'!$B$58:$G$58,1,$B17-2016)+INDEX('HB 115'!$B$59:$G$59,1,$B17-2016)</f>
        <v>-1572.1997425389147</v>
      </c>
      <c r="F17" s="66">
        <f t="shared" si="2"/>
        <v>7149.6419787766099</v>
      </c>
      <c r="G17" s="13">
        <f>INDEX('PF Model'!$F$117:$K$117,1,$B17-2016)</f>
        <v>9804.9352198899614</v>
      </c>
      <c r="H17" s="13">
        <f>INDEX('PF Model'!$G$116:$L$116,1,$B17-2016)</f>
        <v>364.02704202089751</v>
      </c>
      <c r="I17" s="66">
        <f t="shared" si="3"/>
        <v>9972.4873926557448</v>
      </c>
    </row>
    <row r="18" spans="1:9">
      <c r="A18" s="63">
        <v>43115</v>
      </c>
      <c r="B18">
        <f t="shared" si="0"/>
        <v>2018</v>
      </c>
      <c r="C18" s="68">
        <f t="shared" si="1"/>
        <v>0.54520547945205478</v>
      </c>
      <c r="D18" s="34">
        <f>INDEX('HB 115'!$B$57:$G$57,1,$B18-2016)</f>
        <v>7873.2846000000009</v>
      </c>
      <c r="E18" s="34">
        <f>INDEX('HB 115'!$B$55:$G$55,1,$B18-2016)+INDEX('HB 115'!$B$58:$G$58,1,$B18-2016)+INDEX('HB 115'!$B$59:$G$59,1,$B18-2016)</f>
        <v>-1572.1997425389147</v>
      </c>
      <c r="F18" s="66">
        <f t="shared" si="2"/>
        <v>7016.1126855746752</v>
      </c>
      <c r="G18" s="13">
        <f>INDEX('PF Model'!$F$117:$K$117,1,$B18-2016)</f>
        <v>9804.9352198899614</v>
      </c>
      <c r="H18" s="13">
        <f>INDEX('PF Model'!$G$116:$L$116,1,$B18-2016)</f>
        <v>364.02704202089751</v>
      </c>
      <c r="I18" s="66">
        <f t="shared" si="3"/>
        <v>10003.404757868479</v>
      </c>
    </row>
    <row r="19" spans="1:9">
      <c r="A19" s="63">
        <v>43146</v>
      </c>
      <c r="B19">
        <f t="shared" si="0"/>
        <v>2018</v>
      </c>
      <c r="C19" s="68">
        <f t="shared" si="1"/>
        <v>0.63013698630136983</v>
      </c>
      <c r="D19" s="34">
        <f>INDEX('HB 115'!$B$57:$G$57,1,$B19-2016)</f>
        <v>7873.2846000000009</v>
      </c>
      <c r="E19" s="34">
        <f>INDEX('HB 115'!$B$55:$G$55,1,$B19-2016)+INDEX('HB 115'!$B$58:$G$58,1,$B19-2016)+INDEX('HB 115'!$B$59:$G$59,1,$B19-2016)</f>
        <v>-1572.1997425389147</v>
      </c>
      <c r="F19" s="66">
        <f t="shared" si="2"/>
        <v>6882.5833923727396</v>
      </c>
      <c r="G19" s="13">
        <f>INDEX('PF Model'!$F$117:$K$117,1,$B19-2016)</f>
        <v>9804.9352198899614</v>
      </c>
      <c r="H19" s="13">
        <f>INDEX('PF Model'!$G$116:$L$116,1,$B19-2016)</f>
        <v>364.02704202089751</v>
      </c>
      <c r="I19" s="66">
        <f t="shared" si="3"/>
        <v>10034.322123081212</v>
      </c>
    </row>
    <row r="20" spans="1:9">
      <c r="A20" s="63">
        <v>43174</v>
      </c>
      <c r="B20">
        <f t="shared" si="0"/>
        <v>2018</v>
      </c>
      <c r="C20" s="68">
        <f t="shared" si="1"/>
        <v>0.70684931506849313</v>
      </c>
      <c r="D20" s="34">
        <f>INDEX('HB 115'!$B$57:$G$57,1,$B20-2016)</f>
        <v>7873.2846000000009</v>
      </c>
      <c r="E20" s="34">
        <f>INDEX('HB 115'!$B$55:$G$55,1,$B20-2016)+INDEX('HB 115'!$B$58:$G$58,1,$B20-2016)+INDEX('HB 115'!$B$59:$G$59,1,$B20-2016)</f>
        <v>-1572.1997425389147</v>
      </c>
      <c r="F20" s="66">
        <f t="shared" si="2"/>
        <v>6761.9762888355081</v>
      </c>
      <c r="G20" s="13">
        <f>INDEX('PF Model'!$F$117:$K$117,1,$B20-2016)</f>
        <v>9804.9352198899614</v>
      </c>
      <c r="H20" s="13">
        <f>INDEX('PF Model'!$G$116:$L$116,1,$B20-2016)</f>
        <v>364.02704202089751</v>
      </c>
      <c r="I20" s="66">
        <f t="shared" si="3"/>
        <v>10062.247485208842</v>
      </c>
    </row>
    <row r="21" spans="1:9">
      <c r="A21" s="63">
        <v>43205</v>
      </c>
      <c r="B21">
        <f t="shared" si="0"/>
        <v>2018</v>
      </c>
      <c r="C21" s="68">
        <f t="shared" si="1"/>
        <v>0.79178082191780819</v>
      </c>
      <c r="D21" s="34">
        <f>INDEX('HB 115'!$B$57:$G$57,1,$B21-2016)</f>
        <v>7873.2846000000009</v>
      </c>
      <c r="E21" s="34">
        <f>INDEX('HB 115'!$B$55:$G$55,1,$B21-2016)+INDEX('HB 115'!$B$58:$G$58,1,$B21-2016)+INDEX('HB 115'!$B$59:$G$59,1,$B21-2016)</f>
        <v>-1572.1997425389147</v>
      </c>
      <c r="F21" s="66">
        <f t="shared" si="2"/>
        <v>6628.4469956335724</v>
      </c>
      <c r="G21" s="13">
        <f>INDEX('PF Model'!$F$117:$K$117,1,$B21-2016)</f>
        <v>9804.9352198899614</v>
      </c>
      <c r="H21" s="13">
        <f>INDEX('PF Model'!$G$116:$L$116,1,$B21-2016)</f>
        <v>364.02704202089751</v>
      </c>
      <c r="I21" s="66">
        <f t="shared" si="3"/>
        <v>10093.164850421575</v>
      </c>
    </row>
    <row r="22" spans="1:9">
      <c r="A22" s="63">
        <v>43235</v>
      </c>
      <c r="B22">
        <f t="shared" si="0"/>
        <v>2018</v>
      </c>
      <c r="C22" s="68">
        <f t="shared" si="1"/>
        <v>0.87397260273972599</v>
      </c>
      <c r="D22" s="34">
        <f>INDEX('HB 115'!$B$57:$G$57,1,$B22-2016)</f>
        <v>7873.2846000000009</v>
      </c>
      <c r="E22" s="34">
        <f>INDEX('HB 115'!$B$55:$G$55,1,$B22-2016)+INDEX('HB 115'!$B$58:$G$58,1,$B22-2016)+INDEX('HB 115'!$B$59:$G$59,1,$B22-2016)</f>
        <v>-1572.1997425389147</v>
      </c>
      <c r="F22" s="66">
        <f t="shared" si="2"/>
        <v>6499.2250989865388</v>
      </c>
      <c r="G22" s="13">
        <f>INDEX('PF Model'!$F$117:$K$117,1,$B22-2016)</f>
        <v>9804.9352198899614</v>
      </c>
      <c r="H22" s="13">
        <f>INDEX('PF Model'!$G$116:$L$116,1,$B22-2016)</f>
        <v>364.02704202089751</v>
      </c>
      <c r="I22" s="66">
        <f t="shared" si="3"/>
        <v>10123.084881272609</v>
      </c>
    </row>
    <row r="23" spans="1:9">
      <c r="A23" s="63">
        <v>43266</v>
      </c>
      <c r="B23">
        <f t="shared" si="0"/>
        <v>2018</v>
      </c>
      <c r="C23" s="68">
        <f t="shared" si="1"/>
        <v>0.95890410958904104</v>
      </c>
      <c r="D23" s="34">
        <f>INDEX('HB 115'!$B$57:$G$57,1,$B23-2016)</f>
        <v>7873.2846000000009</v>
      </c>
      <c r="E23" s="34">
        <f>INDEX('HB 115'!$B$55:$G$55,1,$B23-2016)+INDEX('HB 115'!$B$58:$G$58,1,$B23-2016)+INDEX('HB 115'!$B$59:$G$59,1,$B23-2016)</f>
        <v>-1572.1997425389147</v>
      </c>
      <c r="F23" s="66">
        <f t="shared" si="2"/>
        <v>6365.6958057846032</v>
      </c>
      <c r="G23" s="13">
        <f>INDEX('PF Model'!$F$117:$K$117,1,$B23-2016)</f>
        <v>9804.9352198899614</v>
      </c>
      <c r="H23" s="13">
        <f>INDEX('PF Model'!$G$116:$L$116,1,$B23-2016)</f>
        <v>364.02704202089751</v>
      </c>
      <c r="I23" s="66">
        <f t="shared" si="3"/>
        <v>10154.002246485343</v>
      </c>
    </row>
    <row r="24" spans="1:9">
      <c r="A24" s="63">
        <v>43296</v>
      </c>
      <c r="B24">
        <f t="shared" si="0"/>
        <v>2019</v>
      </c>
      <c r="C24" s="68">
        <f t="shared" si="1"/>
        <v>4.1095890410958902E-2</v>
      </c>
      <c r="D24" s="34">
        <f>INDEX('HB 115'!$B$57:$G$57,1,$B24-2016)</f>
        <v>6301.0848574610864</v>
      </c>
      <c r="E24" s="34">
        <f>INDEX('HB 115'!$B$55:$G$55,1,$B24-2016)+INDEX('HB 115'!$B$58:$G$58,1,$B24-2016)+INDEX('HB 115'!$B$59:$G$59,1,$B24-2016)</f>
        <v>-213.58920871157687</v>
      </c>
      <c r="F24" s="66">
        <f t="shared" si="2"/>
        <v>6292.3072187469115</v>
      </c>
      <c r="G24" s="13">
        <f>INDEX('PF Model'!$F$117:$K$117,1,$B24-2016)</f>
        <v>10168.96226191086</v>
      </c>
      <c r="H24" s="13">
        <f>INDEX('PF Model'!$G$116:$L$116,1,$B24-2016)</f>
        <v>666.35147008282775</v>
      </c>
      <c r="I24" s="66">
        <f t="shared" si="3"/>
        <v>10196.346568900564</v>
      </c>
    </row>
    <row r="25" spans="1:9">
      <c r="A25" s="63">
        <v>43327</v>
      </c>
      <c r="B25">
        <f t="shared" si="0"/>
        <v>2019</v>
      </c>
      <c r="C25" s="68">
        <f t="shared" si="1"/>
        <v>0.12602739726027398</v>
      </c>
      <c r="D25" s="34">
        <f>INDEX('HB 115'!$B$57:$G$57,1,$B25-2016)</f>
        <v>6301.0848574610864</v>
      </c>
      <c r="E25" s="34">
        <f>INDEX('HB 115'!$B$55:$G$55,1,$B25-2016)+INDEX('HB 115'!$B$58:$G$58,1,$B25-2016)+INDEX('HB 115'!$B$59:$G$59,1,$B25-2016)</f>
        <v>-213.58920871157687</v>
      </c>
      <c r="F25" s="66">
        <f t="shared" si="2"/>
        <v>6274.1667654042849</v>
      </c>
      <c r="G25" s="13">
        <f>INDEX('PF Model'!$F$117:$K$117,1,$B25-2016)</f>
        <v>10168.96226191086</v>
      </c>
      <c r="H25" s="13">
        <f>INDEX('PF Model'!$G$116:$L$116,1,$B25-2016)</f>
        <v>666.35147008282775</v>
      </c>
      <c r="I25" s="66">
        <f t="shared" si="3"/>
        <v>10252.940803345955</v>
      </c>
    </row>
    <row r="26" spans="1:9">
      <c r="A26" s="63">
        <v>43358</v>
      </c>
      <c r="B26">
        <f t="shared" si="0"/>
        <v>2019</v>
      </c>
      <c r="C26" s="68">
        <f t="shared" si="1"/>
        <v>0.21095890410958903</v>
      </c>
      <c r="D26" s="34">
        <f>INDEX('HB 115'!$B$57:$G$57,1,$B26-2016)</f>
        <v>6301.0848574610864</v>
      </c>
      <c r="E26" s="34">
        <f>INDEX('HB 115'!$B$55:$G$55,1,$B26-2016)+INDEX('HB 115'!$B$58:$G$58,1,$B26-2016)+INDEX('HB 115'!$B$59:$G$59,1,$B26-2016)</f>
        <v>-213.58920871157687</v>
      </c>
      <c r="F26" s="66">
        <f t="shared" si="2"/>
        <v>6256.0263120616582</v>
      </c>
      <c r="G26" s="13">
        <f>INDEX('PF Model'!$F$117:$K$117,1,$B26-2016)</f>
        <v>10168.96226191086</v>
      </c>
      <c r="H26" s="13">
        <f>INDEX('PF Model'!$G$116:$L$116,1,$B26-2016)</f>
        <v>666.35147008282775</v>
      </c>
      <c r="I26" s="66">
        <f t="shared" si="3"/>
        <v>10309.535037791347</v>
      </c>
    </row>
    <row r="27" spans="1:9">
      <c r="A27" s="63">
        <v>43388</v>
      </c>
      <c r="B27">
        <f t="shared" si="0"/>
        <v>2019</v>
      </c>
      <c r="C27" s="68">
        <f t="shared" si="1"/>
        <v>0.29315068493150687</v>
      </c>
      <c r="D27" s="34">
        <f>INDEX('HB 115'!$B$57:$G$57,1,$B27-2016)</f>
        <v>6301.0848574610864</v>
      </c>
      <c r="E27" s="34">
        <f>INDEX('HB 115'!$B$55:$G$55,1,$B27-2016)+INDEX('HB 115'!$B$58:$G$58,1,$B27-2016)+INDEX('HB 115'!$B$59:$G$59,1,$B27-2016)</f>
        <v>-213.58920871157687</v>
      </c>
      <c r="F27" s="66">
        <f t="shared" si="2"/>
        <v>6238.4710346333086</v>
      </c>
      <c r="G27" s="13">
        <f>INDEX('PF Model'!$F$117:$K$117,1,$B27-2016)</f>
        <v>10168.96226191086</v>
      </c>
      <c r="H27" s="13">
        <f>INDEX('PF Model'!$G$116:$L$116,1,$B27-2016)</f>
        <v>666.35147008282775</v>
      </c>
      <c r="I27" s="66">
        <f t="shared" si="3"/>
        <v>10364.303651770757</v>
      </c>
    </row>
    <row r="28" spans="1:9">
      <c r="A28" s="63">
        <v>43419</v>
      </c>
      <c r="B28">
        <f t="shared" si="0"/>
        <v>2019</v>
      </c>
      <c r="C28" s="68">
        <f t="shared" si="1"/>
        <v>0.37808219178082192</v>
      </c>
      <c r="D28" s="34">
        <f>INDEX('HB 115'!$B$57:$G$57,1,$B28-2016)</f>
        <v>6301.0848574610864</v>
      </c>
      <c r="E28" s="34">
        <f>INDEX('HB 115'!$B$55:$G$55,1,$B28-2016)+INDEX('HB 115'!$B$58:$G$58,1,$B28-2016)+INDEX('HB 115'!$B$59:$G$59,1,$B28-2016)</f>
        <v>-213.58920871157687</v>
      </c>
      <c r="F28" s="66">
        <f t="shared" si="2"/>
        <v>6220.3305812906819</v>
      </c>
      <c r="G28" s="13">
        <f>INDEX('PF Model'!$F$117:$K$117,1,$B28-2016)</f>
        <v>10168.96226191086</v>
      </c>
      <c r="H28" s="13">
        <f>INDEX('PF Model'!$G$116:$L$116,1,$B28-2016)</f>
        <v>666.35147008282775</v>
      </c>
      <c r="I28" s="66">
        <f t="shared" si="3"/>
        <v>10420.897886216148</v>
      </c>
    </row>
    <row r="29" spans="1:9">
      <c r="A29" s="63">
        <v>43449</v>
      </c>
      <c r="B29">
        <f t="shared" si="0"/>
        <v>2019</v>
      </c>
      <c r="C29" s="68">
        <f t="shared" si="1"/>
        <v>0.46027397260273972</v>
      </c>
      <c r="D29" s="34">
        <f>INDEX('HB 115'!$B$57:$G$57,1,$B29-2016)</f>
        <v>6301.0848574610864</v>
      </c>
      <c r="E29" s="34">
        <f>INDEX('HB 115'!$B$55:$G$55,1,$B29-2016)+INDEX('HB 115'!$B$58:$G$58,1,$B29-2016)+INDEX('HB 115'!$B$59:$G$59,1,$B29-2016)</f>
        <v>-213.58920871157687</v>
      </c>
      <c r="F29" s="66">
        <f t="shared" si="2"/>
        <v>6202.7753038623332</v>
      </c>
      <c r="G29" s="13">
        <f>INDEX('PF Model'!$F$117:$K$117,1,$B29-2016)</f>
        <v>10168.96226191086</v>
      </c>
      <c r="H29" s="13">
        <f>INDEX('PF Model'!$G$116:$L$116,1,$B29-2016)</f>
        <v>666.35147008282775</v>
      </c>
      <c r="I29" s="66">
        <f t="shared" si="3"/>
        <v>10475.666500195559</v>
      </c>
    </row>
    <row r="30" spans="1:9">
      <c r="A30" s="63">
        <v>43480</v>
      </c>
      <c r="B30">
        <f t="shared" si="0"/>
        <v>2019</v>
      </c>
      <c r="C30" s="68">
        <f t="shared" si="1"/>
        <v>0.54520547945205478</v>
      </c>
      <c r="D30" s="34">
        <f>INDEX('HB 115'!$B$57:$G$57,1,$B30-2016)</f>
        <v>6301.0848574610864</v>
      </c>
      <c r="E30" s="34">
        <f>INDEX('HB 115'!$B$55:$G$55,1,$B30-2016)+INDEX('HB 115'!$B$58:$G$58,1,$B30-2016)+INDEX('HB 115'!$B$59:$G$59,1,$B30-2016)</f>
        <v>-213.58920871157687</v>
      </c>
      <c r="F30" s="66">
        <f t="shared" si="2"/>
        <v>6184.6348505197057</v>
      </c>
      <c r="G30" s="13">
        <f>INDEX('PF Model'!$F$117:$K$117,1,$B30-2016)</f>
        <v>10168.96226191086</v>
      </c>
      <c r="H30" s="13">
        <f>INDEX('PF Model'!$G$116:$L$116,1,$B30-2016)</f>
        <v>666.35147008282775</v>
      </c>
      <c r="I30" s="66">
        <f t="shared" si="3"/>
        <v>10532.26073464095</v>
      </c>
    </row>
    <row r="31" spans="1:9">
      <c r="A31" s="63">
        <v>43511</v>
      </c>
      <c r="B31">
        <f t="shared" si="0"/>
        <v>2019</v>
      </c>
      <c r="C31" s="68">
        <f t="shared" si="1"/>
        <v>0.63013698630136983</v>
      </c>
      <c r="D31" s="34">
        <f>INDEX('HB 115'!$B$57:$G$57,1,$B31-2016)</f>
        <v>6301.0848574610864</v>
      </c>
      <c r="E31" s="34">
        <f>INDEX('HB 115'!$B$55:$G$55,1,$B31-2016)+INDEX('HB 115'!$B$58:$G$58,1,$B31-2016)+INDEX('HB 115'!$B$59:$G$59,1,$B31-2016)</f>
        <v>-213.58920871157687</v>
      </c>
      <c r="F31" s="66">
        <f t="shared" si="2"/>
        <v>6166.494397177079</v>
      </c>
      <c r="G31" s="13">
        <f>INDEX('PF Model'!$F$117:$K$117,1,$B31-2016)</f>
        <v>10168.96226191086</v>
      </c>
      <c r="H31" s="13">
        <f>INDEX('PF Model'!$G$116:$L$116,1,$B31-2016)</f>
        <v>666.35147008282775</v>
      </c>
      <c r="I31" s="66">
        <f t="shared" si="3"/>
        <v>10588.85496908634</v>
      </c>
    </row>
    <row r="32" spans="1:9">
      <c r="A32" s="63">
        <v>43539</v>
      </c>
      <c r="B32">
        <f t="shared" si="0"/>
        <v>2019</v>
      </c>
      <c r="C32" s="68">
        <f t="shared" si="1"/>
        <v>0.70684931506849313</v>
      </c>
      <c r="D32" s="34">
        <f>INDEX('HB 115'!$B$57:$G$57,1,$B32-2016)</f>
        <v>6301.0848574610864</v>
      </c>
      <c r="E32" s="34">
        <f>INDEX('HB 115'!$B$55:$G$55,1,$B32-2016)+INDEX('HB 115'!$B$58:$G$58,1,$B32-2016)+INDEX('HB 115'!$B$59:$G$59,1,$B32-2016)</f>
        <v>-213.58920871157687</v>
      </c>
      <c r="F32" s="66">
        <f t="shared" si="2"/>
        <v>6150.109471577287</v>
      </c>
      <c r="G32" s="13">
        <f>INDEX('PF Model'!$F$117:$K$117,1,$B32-2016)</f>
        <v>10168.96226191086</v>
      </c>
      <c r="H32" s="13">
        <f>INDEX('PF Model'!$G$116:$L$116,1,$B32-2016)</f>
        <v>666.35147008282775</v>
      </c>
      <c r="I32" s="66">
        <f t="shared" si="3"/>
        <v>10639.972342133789</v>
      </c>
    </row>
    <row r="33" spans="1:9">
      <c r="A33" s="63">
        <v>43570</v>
      </c>
      <c r="B33">
        <f t="shared" si="0"/>
        <v>2019</v>
      </c>
      <c r="C33" s="68">
        <f t="shared" si="1"/>
        <v>0.79178082191780819</v>
      </c>
      <c r="D33" s="34">
        <f>INDEX('HB 115'!$B$57:$G$57,1,$B33-2016)</f>
        <v>6301.0848574610864</v>
      </c>
      <c r="E33" s="34">
        <f>INDEX('HB 115'!$B$55:$G$55,1,$B33-2016)+INDEX('HB 115'!$B$58:$G$58,1,$B33-2016)+INDEX('HB 115'!$B$59:$G$59,1,$B33-2016)</f>
        <v>-213.58920871157687</v>
      </c>
      <c r="F33" s="66">
        <f t="shared" si="2"/>
        <v>6131.9690182346594</v>
      </c>
      <c r="G33" s="13">
        <f>INDEX('PF Model'!$F$117:$K$117,1,$B33-2016)</f>
        <v>10168.96226191086</v>
      </c>
      <c r="H33" s="13">
        <f>INDEX('PF Model'!$G$116:$L$116,1,$B33-2016)</f>
        <v>666.35147008282775</v>
      </c>
      <c r="I33" s="66">
        <f t="shared" si="3"/>
        <v>10696.56657657918</v>
      </c>
    </row>
    <row r="34" spans="1:9">
      <c r="A34" s="63">
        <v>43600</v>
      </c>
      <c r="B34">
        <f t="shared" si="0"/>
        <v>2019</v>
      </c>
      <c r="C34" s="68">
        <f t="shared" si="1"/>
        <v>0.87397260273972599</v>
      </c>
      <c r="D34" s="34">
        <f>INDEX('HB 115'!$B$57:$G$57,1,$B34-2016)</f>
        <v>6301.0848574610864</v>
      </c>
      <c r="E34" s="34">
        <f>INDEX('HB 115'!$B$55:$G$55,1,$B34-2016)+INDEX('HB 115'!$B$58:$G$58,1,$B34-2016)+INDEX('HB 115'!$B$59:$G$59,1,$B34-2016)</f>
        <v>-213.58920871157687</v>
      </c>
      <c r="F34" s="66">
        <f t="shared" si="2"/>
        <v>6114.4137408063107</v>
      </c>
      <c r="G34" s="13">
        <f>INDEX('PF Model'!$F$117:$K$117,1,$B34-2016)</f>
        <v>10168.96226191086</v>
      </c>
      <c r="H34" s="13">
        <f>INDEX('PF Model'!$G$116:$L$116,1,$B34-2016)</f>
        <v>666.35147008282775</v>
      </c>
      <c r="I34" s="66">
        <f t="shared" si="3"/>
        <v>10751.335190558591</v>
      </c>
    </row>
    <row r="35" spans="1:9">
      <c r="A35" s="63">
        <v>43631</v>
      </c>
      <c r="B35">
        <f t="shared" si="0"/>
        <v>2019</v>
      </c>
      <c r="C35" s="68">
        <f t="shared" si="1"/>
        <v>0.95890410958904104</v>
      </c>
      <c r="D35" s="34">
        <f>INDEX('HB 115'!$B$57:$G$57,1,$B35-2016)</f>
        <v>6301.0848574610864</v>
      </c>
      <c r="E35" s="34">
        <f>INDEX('HB 115'!$B$55:$G$55,1,$B35-2016)+INDEX('HB 115'!$B$58:$G$58,1,$B35-2016)+INDEX('HB 115'!$B$59:$G$59,1,$B35-2016)</f>
        <v>-213.58920871157687</v>
      </c>
      <c r="F35" s="66">
        <f t="shared" si="2"/>
        <v>6096.273287463684</v>
      </c>
      <c r="G35" s="13">
        <f>INDEX('PF Model'!$F$117:$K$117,1,$B35-2016)</f>
        <v>10168.96226191086</v>
      </c>
      <c r="H35" s="13">
        <f>INDEX('PF Model'!$G$116:$L$116,1,$B35-2016)</f>
        <v>666.35147008282775</v>
      </c>
      <c r="I35" s="66">
        <f t="shared" si="3"/>
        <v>10807.929425003982</v>
      </c>
    </row>
    <row r="36" spans="1:9">
      <c r="A36" s="63">
        <v>43661</v>
      </c>
      <c r="B36">
        <f t="shared" si="0"/>
        <v>2020</v>
      </c>
      <c r="C36" s="68">
        <f t="shared" si="1"/>
        <v>4.0983606557377046E-2</v>
      </c>
      <c r="D36" s="34">
        <f>INDEX('HB 115'!$B$57:$G$57,1,$B36-2016)</f>
        <v>6087.4956487495092</v>
      </c>
      <c r="E36" s="34">
        <f>INDEX('HB 115'!$B$55:$G$55,1,$B36-2016)+INDEX('HB 115'!$B$58:$G$58,1,$B36-2016)+INDEX('HB 115'!$B$59:$G$59,1,$B36-2016)</f>
        <v>221.41400859565582</v>
      </c>
      <c r="F36" s="66">
        <f t="shared" si="2"/>
        <v>6096.5699933640853</v>
      </c>
      <c r="G36" s="13">
        <f>INDEX('PF Model'!$F$117:$K$117,1,$B36-2016)</f>
        <v>10835.313731993687</v>
      </c>
      <c r="H36" s="13">
        <f>INDEX('PF Model'!$G$116:$L$116,1,$B36-2016)</f>
        <v>-161.49409479209226</v>
      </c>
      <c r="I36" s="66">
        <f t="shared" si="3"/>
        <v>10828.695121551387</v>
      </c>
    </row>
    <row r="37" spans="1:9">
      <c r="A37" s="63">
        <v>43692</v>
      </c>
      <c r="B37">
        <f t="shared" si="0"/>
        <v>2020</v>
      </c>
      <c r="C37" s="68">
        <f t="shared" si="1"/>
        <v>0.12568306010928962</v>
      </c>
      <c r="D37" s="34">
        <f>INDEX('HB 115'!$B$57:$G$57,1,$B37-2016)</f>
        <v>6087.4956487495092</v>
      </c>
      <c r="E37" s="34">
        <f>INDEX('HB 115'!$B$55:$G$55,1,$B37-2016)+INDEX('HB 115'!$B$58:$G$58,1,$B37-2016)+INDEX('HB 115'!$B$59:$G$59,1,$B37-2016)</f>
        <v>221.41400859565582</v>
      </c>
      <c r="F37" s="66">
        <f t="shared" si="2"/>
        <v>6115.3236389008762</v>
      </c>
      <c r="G37" s="13">
        <f>INDEX('PF Model'!$F$117:$K$117,1,$B37-2016)</f>
        <v>10835.313731993687</v>
      </c>
      <c r="H37" s="13">
        <f>INDEX('PF Model'!$G$116:$L$116,1,$B37-2016)</f>
        <v>-161.49409479209226</v>
      </c>
      <c r="I37" s="66">
        <f t="shared" si="3"/>
        <v>10815.016659970637</v>
      </c>
    </row>
    <row r="38" spans="1:9">
      <c r="A38" s="63">
        <v>43723</v>
      </c>
      <c r="B38">
        <f t="shared" si="0"/>
        <v>2020</v>
      </c>
      <c r="C38" s="68">
        <f t="shared" si="1"/>
        <v>0.2103825136612022</v>
      </c>
      <c r="D38" s="34">
        <f>INDEX('HB 115'!$B$57:$G$57,1,$B38-2016)</f>
        <v>6087.4956487495092</v>
      </c>
      <c r="E38" s="34">
        <f>INDEX('HB 115'!$B$55:$G$55,1,$B38-2016)+INDEX('HB 115'!$B$58:$G$58,1,$B38-2016)+INDEX('HB 115'!$B$59:$G$59,1,$B38-2016)</f>
        <v>221.41400859565582</v>
      </c>
      <c r="F38" s="66">
        <f t="shared" si="2"/>
        <v>6134.0772844376661</v>
      </c>
      <c r="G38" s="13">
        <f>INDEX('PF Model'!$F$117:$K$117,1,$B38-2016)</f>
        <v>10835.313731993687</v>
      </c>
      <c r="H38" s="13">
        <f>INDEX('PF Model'!$G$116:$L$116,1,$B38-2016)</f>
        <v>-161.49409479209226</v>
      </c>
      <c r="I38" s="66">
        <f t="shared" si="3"/>
        <v>10801.338198389885</v>
      </c>
    </row>
    <row r="39" spans="1:9">
      <c r="A39" s="63">
        <v>43753</v>
      </c>
      <c r="B39">
        <f t="shared" si="0"/>
        <v>2020</v>
      </c>
      <c r="C39" s="68">
        <f t="shared" si="1"/>
        <v>0.29234972677595628</v>
      </c>
      <c r="D39" s="34">
        <f>INDEX('HB 115'!$B$57:$G$57,1,$B39-2016)</f>
        <v>6087.4956487495092</v>
      </c>
      <c r="E39" s="34">
        <f>INDEX('HB 115'!$B$55:$G$55,1,$B39-2016)+INDEX('HB 115'!$B$58:$G$58,1,$B39-2016)+INDEX('HB 115'!$B$59:$G$59,1,$B39-2016)</f>
        <v>221.41400859565582</v>
      </c>
      <c r="F39" s="66">
        <f t="shared" si="2"/>
        <v>6152.2259736668184</v>
      </c>
      <c r="G39" s="13">
        <f>INDEX('PF Model'!$F$117:$K$117,1,$B39-2016)</f>
        <v>10835.313731993687</v>
      </c>
      <c r="H39" s="13">
        <f>INDEX('PF Model'!$G$116:$L$116,1,$B39-2016)</f>
        <v>-161.49409479209226</v>
      </c>
      <c r="I39" s="66">
        <f t="shared" si="3"/>
        <v>10788.100977505288</v>
      </c>
    </row>
    <row r="40" spans="1:9">
      <c r="A40" s="63">
        <v>43784</v>
      </c>
      <c r="B40">
        <f t="shared" si="0"/>
        <v>2020</v>
      </c>
      <c r="C40" s="68">
        <f t="shared" si="1"/>
        <v>0.37704918032786883</v>
      </c>
      <c r="D40" s="34">
        <f>INDEX('HB 115'!$B$57:$G$57,1,$B40-2016)</f>
        <v>6087.4956487495092</v>
      </c>
      <c r="E40" s="34">
        <f>INDEX('HB 115'!$B$55:$G$55,1,$B40-2016)+INDEX('HB 115'!$B$58:$G$58,1,$B40-2016)+INDEX('HB 115'!$B$59:$G$59,1,$B40-2016)</f>
        <v>221.41400859565582</v>
      </c>
      <c r="F40" s="66">
        <f t="shared" si="2"/>
        <v>6170.9796192036092</v>
      </c>
      <c r="G40" s="13">
        <f>INDEX('PF Model'!$F$117:$K$117,1,$B40-2016)</f>
        <v>10835.313731993687</v>
      </c>
      <c r="H40" s="13">
        <f>INDEX('PF Model'!$G$116:$L$116,1,$B40-2016)</f>
        <v>-161.49409479209226</v>
      </c>
      <c r="I40" s="66">
        <f t="shared" si="3"/>
        <v>10774.422515924538</v>
      </c>
    </row>
    <row r="41" spans="1:9">
      <c r="A41" s="63">
        <v>43814</v>
      </c>
      <c r="B41">
        <f t="shared" si="0"/>
        <v>2020</v>
      </c>
      <c r="C41" s="68">
        <f t="shared" si="1"/>
        <v>0.45901639344262296</v>
      </c>
      <c r="D41" s="34">
        <f>INDEX('HB 115'!$B$57:$G$57,1,$B41-2016)</f>
        <v>6087.4956487495092</v>
      </c>
      <c r="E41" s="34">
        <f>INDEX('HB 115'!$B$55:$G$55,1,$B41-2016)+INDEX('HB 115'!$B$58:$G$58,1,$B41-2016)+INDEX('HB 115'!$B$59:$G$59,1,$B41-2016)</f>
        <v>221.41400859565582</v>
      </c>
      <c r="F41" s="66">
        <f t="shared" si="2"/>
        <v>6189.1283084327606</v>
      </c>
      <c r="G41" s="13">
        <f>INDEX('PF Model'!$F$117:$K$117,1,$B41-2016)</f>
        <v>10835.313731993687</v>
      </c>
      <c r="H41" s="13">
        <f>INDEX('PF Model'!$G$116:$L$116,1,$B41-2016)</f>
        <v>-161.49409479209226</v>
      </c>
      <c r="I41" s="66">
        <f t="shared" si="3"/>
        <v>10761.185295039939</v>
      </c>
    </row>
    <row r="42" spans="1:9">
      <c r="A42" s="63">
        <v>43845</v>
      </c>
      <c r="B42">
        <f t="shared" si="0"/>
        <v>2020</v>
      </c>
      <c r="C42" s="68">
        <f t="shared" si="1"/>
        <v>0.54371584699453557</v>
      </c>
      <c r="D42" s="34">
        <f>INDEX('HB 115'!$B$57:$G$57,1,$B42-2016)</f>
        <v>6087.4956487495092</v>
      </c>
      <c r="E42" s="34">
        <f>INDEX('HB 115'!$B$55:$G$55,1,$B42-2016)+INDEX('HB 115'!$B$58:$G$58,1,$B42-2016)+INDEX('HB 115'!$B$59:$G$59,1,$B42-2016)</f>
        <v>221.41400859565582</v>
      </c>
      <c r="F42" s="66">
        <f t="shared" si="2"/>
        <v>6207.8819539695514</v>
      </c>
      <c r="G42" s="13">
        <f>INDEX('PF Model'!$F$117:$K$117,1,$B42-2016)</f>
        <v>10835.313731993687</v>
      </c>
      <c r="H42" s="13">
        <f>INDEX('PF Model'!$G$116:$L$116,1,$B42-2016)</f>
        <v>-161.49409479209226</v>
      </c>
      <c r="I42" s="66">
        <f t="shared" si="3"/>
        <v>10747.506833459189</v>
      </c>
    </row>
    <row r="43" spans="1:9">
      <c r="A43" s="63">
        <v>43876</v>
      </c>
      <c r="B43">
        <f t="shared" si="0"/>
        <v>2020</v>
      </c>
      <c r="C43" s="68">
        <f t="shared" si="1"/>
        <v>0.62841530054644812</v>
      </c>
      <c r="D43" s="34">
        <f>INDEX('HB 115'!$B$57:$G$57,1,$B43-2016)</f>
        <v>6087.4956487495092</v>
      </c>
      <c r="E43" s="34">
        <f>INDEX('HB 115'!$B$55:$G$55,1,$B43-2016)+INDEX('HB 115'!$B$58:$G$58,1,$B43-2016)+INDEX('HB 115'!$B$59:$G$59,1,$B43-2016)</f>
        <v>221.41400859565582</v>
      </c>
      <c r="F43" s="66">
        <f t="shared" si="2"/>
        <v>6226.6355995063423</v>
      </c>
      <c r="G43" s="13">
        <f>INDEX('PF Model'!$F$117:$K$117,1,$B43-2016)</f>
        <v>10835.313731993687</v>
      </c>
      <c r="H43" s="13">
        <f>INDEX('PF Model'!$G$116:$L$116,1,$B43-2016)</f>
        <v>-161.49409479209226</v>
      </c>
      <c r="I43" s="66">
        <f t="shared" si="3"/>
        <v>10733.828371878437</v>
      </c>
    </row>
    <row r="44" spans="1:9">
      <c r="A44" s="63">
        <v>43905</v>
      </c>
      <c r="B44">
        <f t="shared" si="0"/>
        <v>2020</v>
      </c>
      <c r="C44" s="68">
        <f t="shared" si="1"/>
        <v>0.70765027322404372</v>
      </c>
      <c r="D44" s="34">
        <f>INDEX('HB 115'!$B$57:$G$57,1,$B44-2016)</f>
        <v>6087.4956487495092</v>
      </c>
      <c r="E44" s="34">
        <f>INDEX('HB 115'!$B$55:$G$55,1,$B44-2016)+INDEX('HB 115'!$B$58:$G$58,1,$B44-2016)+INDEX('HB 115'!$B$59:$G$59,1,$B44-2016)</f>
        <v>221.41400859565582</v>
      </c>
      <c r="F44" s="66">
        <f t="shared" si="2"/>
        <v>6244.179332427856</v>
      </c>
      <c r="G44" s="13">
        <f>INDEX('PF Model'!$F$117:$K$117,1,$B44-2016)</f>
        <v>10835.313731993687</v>
      </c>
      <c r="H44" s="13">
        <f>INDEX('PF Model'!$G$116:$L$116,1,$B44-2016)</f>
        <v>-161.49409479209226</v>
      </c>
      <c r="I44" s="66">
        <f t="shared" si="3"/>
        <v>10721.032391689992</v>
      </c>
    </row>
    <row r="45" spans="1:9">
      <c r="A45" s="63">
        <v>43936</v>
      </c>
      <c r="B45">
        <f t="shared" si="0"/>
        <v>2020</v>
      </c>
      <c r="C45" s="68">
        <f t="shared" si="1"/>
        <v>0.79234972677595628</v>
      </c>
      <c r="D45" s="34">
        <f>INDEX('HB 115'!$B$57:$G$57,1,$B45-2016)</f>
        <v>6087.4956487495092</v>
      </c>
      <c r="E45" s="34">
        <f>INDEX('HB 115'!$B$55:$G$55,1,$B45-2016)+INDEX('HB 115'!$B$58:$G$58,1,$B45-2016)+INDEX('HB 115'!$B$59:$G$59,1,$B45-2016)</f>
        <v>221.41400859565582</v>
      </c>
      <c r="F45" s="66">
        <f t="shared" si="2"/>
        <v>6262.9329779646459</v>
      </c>
      <c r="G45" s="13">
        <f>INDEX('PF Model'!$F$117:$K$117,1,$B45-2016)</f>
        <v>10835.313731993687</v>
      </c>
      <c r="H45" s="13">
        <f>INDEX('PF Model'!$G$116:$L$116,1,$B45-2016)</f>
        <v>-161.49409479209226</v>
      </c>
      <c r="I45" s="66">
        <f t="shared" si="3"/>
        <v>10707.353930109242</v>
      </c>
    </row>
    <row r="46" spans="1:9">
      <c r="A46" s="63">
        <v>43966</v>
      </c>
      <c r="B46">
        <f t="shared" si="0"/>
        <v>2020</v>
      </c>
      <c r="C46" s="68">
        <f t="shared" si="1"/>
        <v>0.87431693989071035</v>
      </c>
      <c r="D46" s="34">
        <f>INDEX('HB 115'!$B$57:$G$57,1,$B46-2016)</f>
        <v>6087.4956487495092</v>
      </c>
      <c r="E46" s="34">
        <f>INDEX('HB 115'!$B$55:$G$55,1,$B46-2016)+INDEX('HB 115'!$B$58:$G$58,1,$B46-2016)+INDEX('HB 115'!$B$59:$G$59,1,$B46-2016)</f>
        <v>221.41400859565582</v>
      </c>
      <c r="F46" s="66">
        <f t="shared" si="2"/>
        <v>6281.0816671937982</v>
      </c>
      <c r="G46" s="13">
        <f>INDEX('PF Model'!$F$117:$K$117,1,$B46-2016)</f>
        <v>10835.313731993687</v>
      </c>
      <c r="H46" s="13">
        <f>INDEX('PF Model'!$G$116:$L$116,1,$B46-2016)</f>
        <v>-161.49409479209226</v>
      </c>
      <c r="I46" s="66">
        <f t="shared" si="3"/>
        <v>10694.116709224645</v>
      </c>
    </row>
    <row r="47" spans="1:9">
      <c r="A47" s="63">
        <v>43997</v>
      </c>
      <c r="B47">
        <f t="shared" si="0"/>
        <v>2020</v>
      </c>
      <c r="C47" s="68">
        <f t="shared" si="1"/>
        <v>0.95901639344262291</v>
      </c>
      <c r="D47" s="34">
        <f>INDEX('HB 115'!$B$57:$G$57,1,$B47-2016)</f>
        <v>6087.4956487495092</v>
      </c>
      <c r="E47" s="34">
        <f>INDEX('HB 115'!$B$55:$G$55,1,$B47-2016)+INDEX('HB 115'!$B$58:$G$58,1,$B47-2016)+INDEX('HB 115'!$B$59:$G$59,1,$B47-2016)</f>
        <v>221.41400859565582</v>
      </c>
      <c r="F47" s="66">
        <f t="shared" si="2"/>
        <v>6299.8353127305891</v>
      </c>
      <c r="G47" s="13">
        <f>INDEX('PF Model'!$F$117:$K$117,1,$B47-2016)</f>
        <v>10835.313731993687</v>
      </c>
      <c r="H47" s="13">
        <f>INDEX('PF Model'!$G$116:$L$116,1,$B47-2016)</f>
        <v>-161.49409479209226</v>
      </c>
      <c r="I47" s="66">
        <f t="shared" si="3"/>
        <v>10680.438247643893</v>
      </c>
    </row>
    <row r="48" spans="1:9">
      <c r="A48" s="63">
        <v>44027</v>
      </c>
      <c r="B48">
        <f t="shared" si="0"/>
        <v>2021</v>
      </c>
      <c r="C48" s="68">
        <f t="shared" si="1"/>
        <v>4.1095890410958902E-2</v>
      </c>
      <c r="D48" s="34">
        <f>INDEX('HB 115'!$B$57:$G$57,1,$B48-2016)</f>
        <v>6308.9096573451643</v>
      </c>
      <c r="E48" s="34">
        <f>INDEX('HB 115'!$B$55:$G$55,1,$B48-2016)+INDEX('HB 115'!$B$58:$G$58,1,$B48-2016)+INDEX('HB 115'!$B$59:$G$59,1,$B48-2016)</f>
        <v>265.1093499734003</v>
      </c>
      <c r="F48" s="66">
        <f t="shared" si="2"/>
        <v>6319.8045621385918</v>
      </c>
      <c r="G48" s="13">
        <f>INDEX('PF Model'!$F$117:$K$117,1,$B48-2016)</f>
        <v>10673.819637201595</v>
      </c>
      <c r="H48" s="13">
        <f>INDEX('PF Model'!$G$116:$L$116,1,$B48-2016)</f>
        <v>311.22540634402912</v>
      </c>
      <c r="I48" s="66">
        <f t="shared" si="3"/>
        <v>10686.609722393816</v>
      </c>
    </row>
    <row r="49" spans="1:9">
      <c r="A49" s="63">
        <v>44058</v>
      </c>
      <c r="B49">
        <f t="shared" si="0"/>
        <v>2021</v>
      </c>
      <c r="C49" s="68">
        <f t="shared" si="1"/>
        <v>0.12602739726027398</v>
      </c>
      <c r="D49" s="34">
        <f>INDEX('HB 115'!$B$57:$G$57,1,$B49-2016)</f>
        <v>6308.9096573451643</v>
      </c>
      <c r="E49" s="34">
        <f>INDEX('HB 115'!$B$55:$G$55,1,$B49-2016)+INDEX('HB 115'!$B$58:$G$58,1,$B49-2016)+INDEX('HB 115'!$B$59:$G$59,1,$B49-2016)</f>
        <v>265.1093499734003</v>
      </c>
      <c r="F49" s="66">
        <f t="shared" si="2"/>
        <v>6342.3206987116746</v>
      </c>
      <c r="G49" s="13">
        <f>INDEX('PF Model'!$F$117:$K$117,1,$B49-2016)</f>
        <v>10673.819637201595</v>
      </c>
      <c r="H49" s="13">
        <f>INDEX('PF Model'!$G$116:$L$116,1,$B49-2016)</f>
        <v>311.22540634402912</v>
      </c>
      <c r="I49" s="66">
        <f t="shared" si="3"/>
        <v>10713.042565124404</v>
      </c>
    </row>
    <row r="50" spans="1:9">
      <c r="A50" s="63">
        <v>44089</v>
      </c>
      <c r="B50">
        <f t="shared" si="0"/>
        <v>2021</v>
      </c>
      <c r="C50" s="68">
        <f t="shared" si="1"/>
        <v>0.21095890410958903</v>
      </c>
      <c r="D50" s="34">
        <f>INDEX('HB 115'!$B$57:$G$57,1,$B50-2016)</f>
        <v>6308.9096573451643</v>
      </c>
      <c r="E50" s="34">
        <f>INDEX('HB 115'!$B$55:$G$55,1,$B50-2016)+INDEX('HB 115'!$B$58:$G$58,1,$B50-2016)+INDEX('HB 115'!$B$59:$G$59,1,$B50-2016)</f>
        <v>265.1093499734003</v>
      </c>
      <c r="F50" s="66">
        <f t="shared" si="2"/>
        <v>6364.8368352847583</v>
      </c>
      <c r="G50" s="13">
        <f>INDEX('PF Model'!$F$117:$K$117,1,$B50-2016)</f>
        <v>10673.819637201595</v>
      </c>
      <c r="H50" s="13">
        <f>INDEX('PF Model'!$G$116:$L$116,1,$B50-2016)</f>
        <v>311.22540634402912</v>
      </c>
      <c r="I50" s="66">
        <f t="shared" si="3"/>
        <v>10739.475407854994</v>
      </c>
    </row>
    <row r="51" spans="1:9">
      <c r="A51" s="63">
        <v>44119</v>
      </c>
      <c r="B51">
        <f t="shared" si="0"/>
        <v>2021</v>
      </c>
      <c r="C51" s="68">
        <f t="shared" si="1"/>
        <v>0.29315068493150687</v>
      </c>
      <c r="D51" s="34">
        <f>INDEX('HB 115'!$B$57:$G$57,1,$B51-2016)</f>
        <v>6308.9096573451643</v>
      </c>
      <c r="E51" s="34">
        <f>INDEX('HB 115'!$B$55:$G$55,1,$B51-2016)+INDEX('HB 115'!$B$58:$G$58,1,$B51-2016)+INDEX('HB 115'!$B$59:$G$59,1,$B51-2016)</f>
        <v>265.1093499734003</v>
      </c>
      <c r="F51" s="66">
        <f t="shared" si="2"/>
        <v>6386.6266448716133</v>
      </c>
      <c r="G51" s="13">
        <f>INDEX('PF Model'!$F$117:$K$117,1,$B51-2016)</f>
        <v>10673.819637201595</v>
      </c>
      <c r="H51" s="13">
        <f>INDEX('PF Model'!$G$116:$L$116,1,$B51-2016)</f>
        <v>311.22540634402912</v>
      </c>
      <c r="I51" s="66">
        <f t="shared" si="3"/>
        <v>10765.055578239435</v>
      </c>
    </row>
    <row r="52" spans="1:9">
      <c r="A52" s="63">
        <v>44150</v>
      </c>
      <c r="B52">
        <f t="shared" si="0"/>
        <v>2021</v>
      </c>
      <c r="C52" s="68">
        <f t="shared" si="1"/>
        <v>0.37808219178082192</v>
      </c>
      <c r="D52" s="34">
        <f>INDEX('HB 115'!$B$57:$G$57,1,$B52-2016)</f>
        <v>6308.9096573451643</v>
      </c>
      <c r="E52" s="34">
        <f>INDEX('HB 115'!$B$55:$G$55,1,$B52-2016)+INDEX('HB 115'!$B$58:$G$58,1,$B52-2016)+INDEX('HB 115'!$B$59:$G$59,1,$B52-2016)</f>
        <v>265.1093499734003</v>
      </c>
      <c r="F52" s="66">
        <f t="shared" si="2"/>
        <v>6409.1427814446961</v>
      </c>
      <c r="G52" s="13">
        <f>INDEX('PF Model'!$F$117:$K$117,1,$B52-2016)</f>
        <v>10673.819637201595</v>
      </c>
      <c r="H52" s="13">
        <f>INDEX('PF Model'!$G$116:$L$116,1,$B52-2016)</f>
        <v>311.22540634402912</v>
      </c>
      <c r="I52" s="66">
        <f t="shared" si="3"/>
        <v>10791.488420970023</v>
      </c>
    </row>
    <row r="53" spans="1:9">
      <c r="A53" s="63">
        <v>44180</v>
      </c>
      <c r="B53">
        <f t="shared" si="0"/>
        <v>2021</v>
      </c>
      <c r="C53" s="68">
        <f t="shared" si="1"/>
        <v>0.46027397260273972</v>
      </c>
      <c r="D53" s="34">
        <f>INDEX('HB 115'!$B$57:$G$57,1,$B53-2016)</f>
        <v>6308.9096573451643</v>
      </c>
      <c r="E53" s="34">
        <f>INDEX('HB 115'!$B$55:$G$55,1,$B53-2016)+INDEX('HB 115'!$B$58:$G$58,1,$B53-2016)+INDEX('HB 115'!$B$59:$G$59,1,$B53-2016)</f>
        <v>265.1093499734003</v>
      </c>
      <c r="F53" s="66">
        <f t="shared" si="2"/>
        <v>6430.9325910315511</v>
      </c>
      <c r="G53" s="13">
        <f>INDEX('PF Model'!$F$117:$K$117,1,$B53-2016)</f>
        <v>10673.819637201595</v>
      </c>
      <c r="H53" s="13">
        <f>INDEX('PF Model'!$G$116:$L$116,1,$B53-2016)</f>
        <v>311.22540634402912</v>
      </c>
      <c r="I53" s="66">
        <f t="shared" si="3"/>
        <v>10817.068591354464</v>
      </c>
    </row>
    <row r="54" spans="1:9">
      <c r="A54" s="63">
        <v>44211</v>
      </c>
      <c r="B54">
        <f t="shared" si="0"/>
        <v>2021</v>
      </c>
      <c r="C54" s="68">
        <f t="shared" si="1"/>
        <v>0.54520547945205478</v>
      </c>
      <c r="D54" s="34">
        <f>INDEX('HB 115'!$B$57:$G$57,1,$B54-2016)</f>
        <v>6308.9096573451643</v>
      </c>
      <c r="E54" s="34">
        <f>INDEX('HB 115'!$B$55:$G$55,1,$B54-2016)+INDEX('HB 115'!$B$58:$G$58,1,$B54-2016)+INDEX('HB 115'!$B$59:$G$59,1,$B54-2016)</f>
        <v>265.1093499734003</v>
      </c>
      <c r="F54" s="66">
        <f t="shared" si="2"/>
        <v>6453.4487276046348</v>
      </c>
      <c r="G54" s="13">
        <f>INDEX('PF Model'!$F$117:$K$117,1,$B54-2016)</f>
        <v>10673.819637201595</v>
      </c>
      <c r="H54" s="13">
        <f>INDEX('PF Model'!$G$116:$L$116,1,$B54-2016)</f>
        <v>311.22540634402912</v>
      </c>
      <c r="I54" s="66">
        <f t="shared" si="3"/>
        <v>10843.501434085052</v>
      </c>
    </row>
    <row r="55" spans="1:9">
      <c r="A55" s="63">
        <v>44242</v>
      </c>
      <c r="B55">
        <f t="shared" si="0"/>
        <v>2021</v>
      </c>
      <c r="C55" s="68">
        <f t="shared" si="1"/>
        <v>0.63013698630136983</v>
      </c>
      <c r="D55" s="34">
        <f>INDEX('HB 115'!$B$57:$G$57,1,$B55-2016)</f>
        <v>6308.9096573451643</v>
      </c>
      <c r="E55" s="34">
        <f>INDEX('HB 115'!$B$55:$G$55,1,$B55-2016)+INDEX('HB 115'!$B$58:$G$58,1,$B55-2016)+INDEX('HB 115'!$B$59:$G$59,1,$B55-2016)</f>
        <v>265.1093499734003</v>
      </c>
      <c r="F55" s="66">
        <f t="shared" si="2"/>
        <v>6475.9648641777176</v>
      </c>
      <c r="G55" s="13">
        <f>INDEX('PF Model'!$F$117:$K$117,1,$B55-2016)</f>
        <v>10673.819637201595</v>
      </c>
      <c r="H55" s="13">
        <f>INDEX('PF Model'!$G$116:$L$116,1,$B55-2016)</f>
        <v>311.22540634402912</v>
      </c>
      <c r="I55" s="66">
        <f t="shared" si="3"/>
        <v>10869.934276815642</v>
      </c>
    </row>
    <row r="56" spans="1:9">
      <c r="A56" s="63">
        <v>44270</v>
      </c>
      <c r="B56">
        <f t="shared" si="0"/>
        <v>2021</v>
      </c>
      <c r="C56" s="68">
        <f t="shared" si="1"/>
        <v>0.70684931506849313</v>
      </c>
      <c r="D56" s="34">
        <f>INDEX('HB 115'!$B$57:$G$57,1,$B56-2016)</f>
        <v>6308.9096573451643</v>
      </c>
      <c r="E56" s="34">
        <f>INDEX('HB 115'!$B$55:$G$55,1,$B56-2016)+INDEX('HB 115'!$B$58:$G$58,1,$B56-2016)+INDEX('HB 115'!$B$59:$G$59,1,$B56-2016)</f>
        <v>265.1093499734003</v>
      </c>
      <c r="F56" s="66">
        <f t="shared" si="2"/>
        <v>6496.302019792116</v>
      </c>
      <c r="G56" s="13">
        <f>INDEX('PF Model'!$F$117:$K$117,1,$B56-2016)</f>
        <v>10673.819637201595</v>
      </c>
      <c r="H56" s="13">
        <f>INDEX('PF Model'!$G$116:$L$116,1,$B56-2016)</f>
        <v>311.22540634402912</v>
      </c>
      <c r="I56" s="66">
        <f t="shared" si="3"/>
        <v>10893.809102507787</v>
      </c>
    </row>
    <row r="57" spans="1:9">
      <c r="A57" s="63">
        <v>44301</v>
      </c>
      <c r="B57">
        <f t="shared" si="0"/>
        <v>2021</v>
      </c>
      <c r="C57" s="68">
        <f t="shared" si="1"/>
        <v>0.79178082191780819</v>
      </c>
      <c r="D57" s="34">
        <f>INDEX('HB 115'!$B$57:$G$57,1,$B57-2016)</f>
        <v>6308.9096573451643</v>
      </c>
      <c r="E57" s="34">
        <f>INDEX('HB 115'!$B$55:$G$55,1,$B57-2016)+INDEX('HB 115'!$B$58:$G$58,1,$B57-2016)+INDEX('HB 115'!$B$59:$G$59,1,$B57-2016)</f>
        <v>265.1093499734003</v>
      </c>
      <c r="F57" s="66">
        <f t="shared" si="2"/>
        <v>6518.8181563651988</v>
      </c>
      <c r="G57" s="13">
        <f>INDEX('PF Model'!$F$117:$K$117,1,$B57-2016)</f>
        <v>10673.819637201595</v>
      </c>
      <c r="H57" s="13">
        <f>INDEX('PF Model'!$G$116:$L$116,1,$B57-2016)</f>
        <v>311.22540634402912</v>
      </c>
      <c r="I57" s="66">
        <f t="shared" si="3"/>
        <v>10920.241945238375</v>
      </c>
    </row>
    <row r="58" spans="1:9">
      <c r="A58" s="63">
        <v>44331</v>
      </c>
      <c r="B58">
        <f t="shared" si="0"/>
        <v>2021</v>
      </c>
      <c r="C58" s="68">
        <f t="shared" si="1"/>
        <v>0.87397260273972599</v>
      </c>
      <c r="D58" s="34">
        <f>INDEX('HB 115'!$B$57:$G$57,1,$B58-2016)</f>
        <v>6308.9096573451643</v>
      </c>
      <c r="E58" s="34">
        <f>INDEX('HB 115'!$B$55:$G$55,1,$B58-2016)+INDEX('HB 115'!$B$58:$G$58,1,$B58-2016)+INDEX('HB 115'!$B$59:$G$59,1,$B58-2016)</f>
        <v>265.1093499734003</v>
      </c>
      <c r="F58" s="66">
        <f t="shared" si="2"/>
        <v>6540.6079659520537</v>
      </c>
      <c r="G58" s="13">
        <f>INDEX('PF Model'!$F$117:$K$117,1,$B58-2016)</f>
        <v>10673.819637201595</v>
      </c>
      <c r="H58" s="13">
        <f>INDEX('PF Model'!$G$116:$L$116,1,$B58-2016)</f>
        <v>311.22540634402912</v>
      </c>
      <c r="I58" s="66">
        <f t="shared" si="3"/>
        <v>10945.822115622816</v>
      </c>
    </row>
    <row r="59" spans="1:9">
      <c r="A59" s="63">
        <v>44362</v>
      </c>
      <c r="B59">
        <f t="shared" si="0"/>
        <v>2021</v>
      </c>
      <c r="C59" s="68">
        <f t="shared" si="1"/>
        <v>0.95890410958904104</v>
      </c>
      <c r="D59" s="34">
        <f>INDEX('HB 115'!$B$57:$G$57,1,$B59-2016)</f>
        <v>6308.9096573451643</v>
      </c>
      <c r="E59" s="34">
        <f>INDEX('HB 115'!$B$55:$G$55,1,$B59-2016)+INDEX('HB 115'!$B$58:$G$58,1,$B59-2016)+INDEX('HB 115'!$B$59:$G$59,1,$B59-2016)</f>
        <v>265.1093499734003</v>
      </c>
      <c r="F59" s="66">
        <f t="shared" si="2"/>
        <v>6563.1241025251375</v>
      </c>
      <c r="G59" s="13">
        <f>INDEX('PF Model'!$F$117:$K$117,1,$B59-2016)</f>
        <v>10673.819637201595</v>
      </c>
      <c r="H59" s="13">
        <f>INDEX('PF Model'!$G$116:$L$116,1,$B59-2016)</f>
        <v>311.22540634402912</v>
      </c>
      <c r="I59" s="66">
        <f t="shared" si="3"/>
        <v>10972.254958353404</v>
      </c>
    </row>
    <row r="60" spans="1:9">
      <c r="A60" s="63">
        <v>44392</v>
      </c>
      <c r="B60">
        <f t="shared" si="0"/>
        <v>2022</v>
      </c>
      <c r="C60" s="68">
        <f t="shared" si="1"/>
        <v>4.1095890410958902E-2</v>
      </c>
      <c r="D60" s="34">
        <f>INDEX('HB 115'!$B$57:$G$57,1,$B60-2016)</f>
        <v>6574.0190073185649</v>
      </c>
      <c r="E60" s="34">
        <f>INDEX('HB 115'!$B$55:$G$55,1,$B60-2016)+INDEX('HB 115'!$B$58:$G$58,1,$B60-2016)+INDEX('HB 115'!$B$59:$G$59,1,$B60-2016)</f>
        <v>307.66615378291743</v>
      </c>
      <c r="F60" s="66">
        <f t="shared" si="2"/>
        <v>6586.6628218575888</v>
      </c>
      <c r="G60" s="13">
        <f>INDEX('PF Model'!$F$117:$K$117,1,$B60-2016)</f>
        <v>10985.045043545624</v>
      </c>
      <c r="H60" s="13">
        <f>INDEX('PF Model'!$G$116:$L$116,1,$B60-2016)</f>
        <v>237.01103408053223</v>
      </c>
      <c r="I60" s="66">
        <f t="shared" si="3"/>
        <v>10994.785223028386</v>
      </c>
    </row>
    <row r="61" spans="1:9">
      <c r="A61" s="63">
        <v>44423</v>
      </c>
      <c r="B61">
        <f t="shared" si="0"/>
        <v>2022</v>
      </c>
      <c r="C61" s="68">
        <f t="shared" si="1"/>
        <v>0.12602739726027398</v>
      </c>
      <c r="D61" s="34">
        <f>INDEX('HB 115'!$B$57:$G$57,1,$B61-2016)</f>
        <v>6574.0190073185649</v>
      </c>
      <c r="E61" s="34">
        <f>INDEX('HB 115'!$B$55:$G$55,1,$B61-2016)+INDEX('HB 115'!$B$58:$G$58,1,$B61-2016)+INDEX('HB 115'!$B$59:$G$59,1,$B61-2016)</f>
        <v>307.66615378291743</v>
      </c>
      <c r="F61" s="66">
        <f t="shared" si="2"/>
        <v>6612.7933719049051</v>
      </c>
      <c r="G61" s="13">
        <f>INDEX('PF Model'!$F$117:$K$117,1,$B61-2016)</f>
        <v>10985.045043545624</v>
      </c>
      <c r="H61" s="13">
        <f>INDEX('PF Model'!$G$116:$L$116,1,$B61-2016)</f>
        <v>237.01103408053223</v>
      </c>
      <c r="I61" s="66">
        <f t="shared" si="3"/>
        <v>11014.914927292759</v>
      </c>
    </row>
    <row r="62" spans="1:9">
      <c r="A62" s="63">
        <v>44454</v>
      </c>
      <c r="B62">
        <f t="shared" si="0"/>
        <v>2022</v>
      </c>
      <c r="C62" s="68">
        <f t="shared" si="1"/>
        <v>0.21095890410958903</v>
      </c>
      <c r="D62" s="34">
        <f>INDEX('HB 115'!$B$57:$G$57,1,$B62-2016)</f>
        <v>6574.0190073185649</v>
      </c>
      <c r="E62" s="34">
        <f>INDEX('HB 115'!$B$55:$G$55,1,$B62-2016)+INDEX('HB 115'!$B$58:$G$58,1,$B62-2016)+INDEX('HB 115'!$B$59:$G$59,1,$B62-2016)</f>
        <v>307.66615378291743</v>
      </c>
      <c r="F62" s="66">
        <f t="shared" si="2"/>
        <v>6638.9239219522215</v>
      </c>
      <c r="G62" s="13">
        <f>INDEX('PF Model'!$F$117:$K$117,1,$B62-2016)</f>
        <v>10985.045043545624</v>
      </c>
      <c r="H62" s="13">
        <f>INDEX('PF Model'!$G$116:$L$116,1,$B62-2016)</f>
        <v>237.01103408053223</v>
      </c>
      <c r="I62" s="66">
        <f t="shared" si="3"/>
        <v>11035.044631557133</v>
      </c>
    </row>
    <row r="63" spans="1:9">
      <c r="A63" s="63">
        <v>44484</v>
      </c>
      <c r="B63">
        <f t="shared" si="0"/>
        <v>2022</v>
      </c>
      <c r="C63" s="68">
        <f t="shared" si="1"/>
        <v>0.29315068493150687</v>
      </c>
      <c r="D63" s="34">
        <f>INDEX('HB 115'!$B$57:$G$57,1,$B63-2016)</f>
        <v>6574.0190073185649</v>
      </c>
      <c r="E63" s="34">
        <f>INDEX('HB 115'!$B$55:$G$55,1,$B63-2016)+INDEX('HB 115'!$B$58:$G$58,1,$B63-2016)+INDEX('HB 115'!$B$59:$G$59,1,$B63-2016)</f>
        <v>307.66615378291743</v>
      </c>
      <c r="F63" s="66">
        <f t="shared" si="2"/>
        <v>6664.2115510302692</v>
      </c>
      <c r="G63" s="13">
        <f>INDEX('PF Model'!$F$117:$K$117,1,$B63-2016)</f>
        <v>10985.045043545624</v>
      </c>
      <c r="H63" s="13">
        <f>INDEX('PF Model'!$G$116:$L$116,1,$B63-2016)</f>
        <v>237.01103408053223</v>
      </c>
      <c r="I63" s="66">
        <f t="shared" si="3"/>
        <v>11054.524990522657</v>
      </c>
    </row>
    <row r="64" spans="1:9">
      <c r="A64" s="63">
        <v>44515</v>
      </c>
      <c r="B64">
        <f t="shared" si="0"/>
        <v>2022</v>
      </c>
      <c r="C64" s="68">
        <f t="shared" si="1"/>
        <v>0.37808219178082192</v>
      </c>
      <c r="D64" s="34">
        <f>INDEX('HB 115'!$B$57:$G$57,1,$B64-2016)</f>
        <v>6574.0190073185649</v>
      </c>
      <c r="E64" s="34">
        <f>INDEX('HB 115'!$B$55:$G$55,1,$B64-2016)+INDEX('HB 115'!$B$58:$G$58,1,$B64-2016)+INDEX('HB 115'!$B$59:$G$59,1,$B64-2016)</f>
        <v>307.66615378291743</v>
      </c>
      <c r="F64" s="66">
        <f t="shared" si="2"/>
        <v>6690.3421010775855</v>
      </c>
      <c r="G64" s="13">
        <f>INDEX('PF Model'!$F$117:$K$117,1,$B64-2016)</f>
        <v>10985.045043545624</v>
      </c>
      <c r="H64" s="13">
        <f>INDEX('PF Model'!$G$116:$L$116,1,$B64-2016)</f>
        <v>237.01103408053223</v>
      </c>
      <c r="I64" s="66">
        <f t="shared" si="3"/>
        <v>11074.65469478703</v>
      </c>
    </row>
    <row r="65" spans="1:9">
      <c r="A65" s="63">
        <v>44545</v>
      </c>
      <c r="B65">
        <f t="shared" si="0"/>
        <v>2022</v>
      </c>
      <c r="C65" s="68">
        <f t="shared" si="1"/>
        <v>0.46027397260273972</v>
      </c>
      <c r="D65" s="34">
        <f>INDEX('HB 115'!$B$57:$G$57,1,$B65-2016)</f>
        <v>6574.0190073185649</v>
      </c>
      <c r="E65" s="34">
        <f>INDEX('HB 115'!$B$55:$G$55,1,$B65-2016)+INDEX('HB 115'!$B$58:$G$58,1,$B65-2016)+INDEX('HB 115'!$B$59:$G$59,1,$B65-2016)</f>
        <v>307.66615378291743</v>
      </c>
      <c r="F65" s="66">
        <f t="shared" si="2"/>
        <v>6715.6297301556342</v>
      </c>
      <c r="G65" s="13">
        <f>INDEX('PF Model'!$F$117:$K$117,1,$B65-2016)</f>
        <v>10985.045043545624</v>
      </c>
      <c r="H65" s="13">
        <f>INDEX('PF Model'!$G$116:$L$116,1,$B65-2016)</f>
        <v>237.01103408053223</v>
      </c>
      <c r="I65" s="66">
        <f t="shared" si="3"/>
        <v>11094.135053752554</v>
      </c>
    </row>
    <row r="66" spans="1:9">
      <c r="A66" s="63">
        <v>44576</v>
      </c>
      <c r="B66">
        <f t="shared" si="0"/>
        <v>2022</v>
      </c>
      <c r="C66" s="68">
        <f t="shared" si="1"/>
        <v>0.54520547945205478</v>
      </c>
      <c r="D66" s="34">
        <f>INDEX('HB 115'!$B$57:$G$57,1,$B66-2016)</f>
        <v>6574.0190073185649</v>
      </c>
      <c r="E66" s="34">
        <f>INDEX('HB 115'!$B$55:$G$55,1,$B66-2016)+INDEX('HB 115'!$B$58:$G$58,1,$B66-2016)+INDEX('HB 115'!$B$59:$G$59,1,$B66-2016)</f>
        <v>307.66615378291743</v>
      </c>
      <c r="F66" s="66">
        <f t="shared" si="2"/>
        <v>6741.7602802029505</v>
      </c>
      <c r="G66" s="13">
        <f>INDEX('PF Model'!$F$117:$K$117,1,$B66-2016)</f>
        <v>10985.045043545624</v>
      </c>
      <c r="H66" s="13">
        <f>INDEX('PF Model'!$G$116:$L$116,1,$B66-2016)</f>
        <v>237.01103408053223</v>
      </c>
      <c r="I66" s="66">
        <f t="shared" si="3"/>
        <v>11114.264758016929</v>
      </c>
    </row>
    <row r="67" spans="1:9">
      <c r="A67" s="63">
        <v>44607</v>
      </c>
      <c r="B67">
        <f t="shared" si="0"/>
        <v>2022</v>
      </c>
      <c r="C67" s="68">
        <f t="shared" si="1"/>
        <v>0.63013698630136983</v>
      </c>
      <c r="D67" s="34">
        <f>INDEX('HB 115'!$B$57:$G$57,1,$B67-2016)</f>
        <v>6574.0190073185649</v>
      </c>
      <c r="E67" s="34">
        <f>INDEX('HB 115'!$B$55:$G$55,1,$B67-2016)+INDEX('HB 115'!$B$58:$G$58,1,$B67-2016)+INDEX('HB 115'!$B$59:$G$59,1,$B67-2016)</f>
        <v>307.66615378291743</v>
      </c>
      <c r="F67" s="66">
        <f t="shared" si="2"/>
        <v>6767.8908302502659</v>
      </c>
      <c r="G67" s="13">
        <f>INDEX('PF Model'!$F$117:$K$117,1,$B67-2016)</f>
        <v>10985.045043545624</v>
      </c>
      <c r="H67" s="13">
        <f>INDEX('PF Model'!$G$116:$L$116,1,$B67-2016)</f>
        <v>237.01103408053223</v>
      </c>
      <c r="I67" s="66">
        <f t="shared" si="3"/>
        <v>11134.394462281301</v>
      </c>
    </row>
    <row r="68" spans="1:9">
      <c r="A68" s="63">
        <v>44635</v>
      </c>
      <c r="B68">
        <f t="shared" si="0"/>
        <v>2022</v>
      </c>
      <c r="C68" s="68">
        <f t="shared" si="1"/>
        <v>0.70684931506849313</v>
      </c>
      <c r="D68" s="34">
        <f>INDEX('HB 115'!$B$57:$G$57,1,$B68-2016)</f>
        <v>6574.0190073185649</v>
      </c>
      <c r="E68" s="34">
        <f>INDEX('HB 115'!$B$55:$G$55,1,$B68-2016)+INDEX('HB 115'!$B$58:$G$58,1,$B68-2016)+INDEX('HB 115'!$B$59:$G$59,1,$B68-2016)</f>
        <v>307.66615378291743</v>
      </c>
      <c r="F68" s="66">
        <f t="shared" si="2"/>
        <v>6791.4926173897775</v>
      </c>
      <c r="G68" s="13">
        <f>INDEX('PF Model'!$F$117:$K$117,1,$B68-2016)</f>
        <v>10985.045043545624</v>
      </c>
      <c r="H68" s="13">
        <f>INDEX('PF Model'!$G$116:$L$116,1,$B68-2016)</f>
        <v>237.01103408053223</v>
      </c>
      <c r="I68" s="66">
        <f t="shared" si="3"/>
        <v>11152.576130649124</v>
      </c>
    </row>
    <row r="69" spans="1:9">
      <c r="A69" s="63">
        <v>44666</v>
      </c>
      <c r="B69">
        <f t="shared" si="0"/>
        <v>2022</v>
      </c>
      <c r="C69" s="68">
        <f t="shared" si="1"/>
        <v>0.79178082191780819</v>
      </c>
      <c r="D69" s="34">
        <f>INDEX('HB 115'!$B$57:$G$57,1,$B69-2016)</f>
        <v>6574.0190073185649</v>
      </c>
      <c r="E69" s="34">
        <f>INDEX('HB 115'!$B$55:$G$55,1,$B69-2016)+INDEX('HB 115'!$B$58:$G$58,1,$B69-2016)+INDEX('HB 115'!$B$59:$G$59,1,$B69-2016)</f>
        <v>307.66615378291743</v>
      </c>
      <c r="F69" s="66">
        <f t="shared" si="2"/>
        <v>6817.6231674370938</v>
      </c>
      <c r="G69" s="13">
        <f>INDEX('PF Model'!$F$117:$K$117,1,$B69-2016)</f>
        <v>10985.045043545624</v>
      </c>
      <c r="H69" s="13">
        <f>INDEX('PF Model'!$G$116:$L$116,1,$B69-2016)</f>
        <v>237.01103408053223</v>
      </c>
      <c r="I69" s="66">
        <f t="shared" si="3"/>
        <v>11172.705834913497</v>
      </c>
    </row>
    <row r="70" spans="1:9">
      <c r="A70" s="63">
        <v>44696</v>
      </c>
      <c r="B70">
        <f t="shared" si="0"/>
        <v>2022</v>
      </c>
      <c r="C70" s="68">
        <f t="shared" si="1"/>
        <v>0.87397260273972599</v>
      </c>
      <c r="D70" s="34">
        <f>INDEX('HB 115'!$B$57:$G$57,1,$B70-2016)</f>
        <v>6574.0190073185649</v>
      </c>
      <c r="E70" s="34">
        <f>INDEX('HB 115'!$B$55:$G$55,1,$B70-2016)+INDEX('HB 115'!$B$58:$G$58,1,$B70-2016)+INDEX('HB 115'!$B$59:$G$59,1,$B70-2016)</f>
        <v>307.66615378291743</v>
      </c>
      <c r="F70" s="66">
        <f t="shared" si="2"/>
        <v>6842.9107965151425</v>
      </c>
      <c r="G70" s="13">
        <f>INDEX('PF Model'!$F$117:$K$117,1,$B70-2016)</f>
        <v>10985.045043545624</v>
      </c>
      <c r="H70" s="13">
        <f>INDEX('PF Model'!$G$116:$L$116,1,$B70-2016)</f>
        <v>237.01103408053223</v>
      </c>
      <c r="I70" s="66">
        <f t="shared" si="3"/>
        <v>11192.186193879021</v>
      </c>
    </row>
    <row r="71" spans="1:9">
      <c r="A71" s="63">
        <v>44727</v>
      </c>
      <c r="B71">
        <f t="shared" si="0"/>
        <v>2022</v>
      </c>
      <c r="C71" s="68">
        <f t="shared" si="1"/>
        <v>0.95890410958904104</v>
      </c>
      <c r="D71" s="34">
        <f>INDEX('HB 115'!$B$57:$G$57,1,$B71-2016)</f>
        <v>6574.0190073185649</v>
      </c>
      <c r="E71" s="34">
        <f>INDEX('HB 115'!$B$55:$G$55,1,$B71-2016)+INDEX('HB 115'!$B$58:$G$58,1,$B71-2016)+INDEX('HB 115'!$B$59:$G$59,1,$B71-2016)</f>
        <v>307.66615378291743</v>
      </c>
      <c r="F71" s="66">
        <f t="shared" si="2"/>
        <v>6869.0413465624588</v>
      </c>
      <c r="G71" s="13">
        <f>INDEX('PF Model'!$F$117:$K$117,1,$B71-2016)</f>
        <v>10985.045043545624</v>
      </c>
      <c r="H71" s="13">
        <f>INDEX('PF Model'!$G$116:$L$116,1,$B71-2016)</f>
        <v>237.01103408053223</v>
      </c>
      <c r="I71" s="66">
        <f t="shared" si="3"/>
        <v>11212.315898143395</v>
      </c>
    </row>
    <row r="72" spans="1:9">
      <c r="A72" s="63">
        <v>44742</v>
      </c>
      <c r="B72">
        <f t="shared" si="0"/>
        <v>2022</v>
      </c>
      <c r="C72" s="70">
        <f t="shared" si="1"/>
        <v>1</v>
      </c>
      <c r="D72" s="34">
        <f>INDEX('HB 115'!$B$57:$G$57,1,$B72-2016)</f>
        <v>6574.0190073185649</v>
      </c>
      <c r="E72" s="34">
        <f>INDEX('HB 115'!$B$55:$G$55,1,$B72-2016)+INDEX('HB 115'!$B$58:$G$58,1,$B72-2016)+INDEX('HB 115'!$B$59:$G$59,1,$B72-2016)</f>
        <v>307.66615378291743</v>
      </c>
      <c r="F72" s="66">
        <f t="shared" si="2"/>
        <v>6881.6851611014827</v>
      </c>
      <c r="G72" s="13">
        <f>INDEX('PF Model'!$F$117:$K$117,1,$B72-2016)</f>
        <v>10985.045043545624</v>
      </c>
      <c r="H72" s="13">
        <f>INDEX('PF Model'!$G$116:$L$116,1,$B72-2016)</f>
        <v>237.01103408053223</v>
      </c>
      <c r="I72" s="66">
        <f t="shared" si="3"/>
        <v>11222.056077626155</v>
      </c>
    </row>
    <row r="74" spans="1:9">
      <c r="F74" s="112">
        <f>F72/-E72</f>
        <v>-22.367378005307177</v>
      </c>
      <c r="G74" t="s">
        <v>173</v>
      </c>
    </row>
    <row r="75" spans="1:9">
      <c r="F75" s="63">
        <f>A72+F74*365</f>
        <v>36577.90702806288</v>
      </c>
    </row>
    <row r="76" spans="1:9">
      <c r="F76" s="103">
        <f>YEARFRAC(F75,DATE(YEAR(F75), 1,1))+YEAR(F75)</f>
        <v>2000.1388888888889</v>
      </c>
    </row>
    <row r="1838" spans="1:1">
      <c r="A1838" s="63"/>
    </row>
    <row r="1839" spans="1:1">
      <c r="A1839" s="63"/>
    </row>
    <row r="1840" spans="1:1">
      <c r="A1840" s="63"/>
    </row>
    <row r="1841" spans="1:1">
      <c r="A1841" s="63"/>
    </row>
    <row r="1842" spans="1:1">
      <c r="A1842" s="63"/>
    </row>
    <row r="1843" spans="1:1">
      <c r="A1843" s="63"/>
    </row>
    <row r="1844" spans="1:1">
      <c r="A1844" s="63"/>
    </row>
    <row r="1845" spans="1:1">
      <c r="A1845" s="63"/>
    </row>
    <row r="1846" spans="1:1">
      <c r="A1846" s="63"/>
    </row>
    <row r="1847" spans="1:1">
      <c r="A1847" s="63"/>
    </row>
    <row r="1848" spans="1:1">
      <c r="A1848" s="63"/>
    </row>
    <row r="1849" spans="1:1">
      <c r="A1849" s="63"/>
    </row>
    <row r="1850" spans="1:1">
      <c r="A1850" s="63"/>
    </row>
    <row r="1851" spans="1:1">
      <c r="A1851" s="63"/>
    </row>
    <row r="1852" spans="1:1">
      <c r="A1852" s="63"/>
    </row>
    <row r="1853" spans="1:1">
      <c r="A1853" s="63"/>
    </row>
    <row r="1854" spans="1:1">
      <c r="A1854" s="63"/>
    </row>
    <row r="1855" spans="1:1">
      <c r="A1855" s="63"/>
    </row>
    <row r="1856" spans="1:1">
      <c r="A1856" s="63"/>
    </row>
    <row r="1857" spans="1:1">
      <c r="A1857" s="63"/>
    </row>
    <row r="1858" spans="1:1">
      <c r="A1858" s="63"/>
    </row>
    <row r="1859" spans="1:1">
      <c r="A1859" s="63"/>
    </row>
    <row r="1860" spans="1:1">
      <c r="A1860" s="63"/>
    </row>
    <row r="1861" spans="1:1">
      <c r="A1861" s="63"/>
    </row>
    <row r="1862" spans="1:1">
      <c r="A1862" s="63"/>
    </row>
    <row r="1863" spans="1:1">
      <c r="A1863" s="63"/>
    </row>
    <row r="1864" spans="1:1">
      <c r="A1864" s="63"/>
    </row>
    <row r="1865" spans="1:1">
      <c r="A1865" s="63"/>
    </row>
    <row r="1866" spans="1:1">
      <c r="A1866" s="63"/>
    </row>
    <row r="1867" spans="1:1">
      <c r="A1867" s="63"/>
    </row>
    <row r="1868" spans="1:1">
      <c r="A1868" s="63"/>
    </row>
    <row r="1869" spans="1:1">
      <c r="A1869" s="63"/>
    </row>
    <row r="1870" spans="1:1">
      <c r="A1870" s="63"/>
    </row>
    <row r="1871" spans="1:1">
      <c r="A1871" s="63"/>
    </row>
    <row r="1872" spans="1:1">
      <c r="A1872" s="63"/>
    </row>
    <row r="1873" spans="1:1">
      <c r="A1873" s="63"/>
    </row>
    <row r="1874" spans="1:1">
      <c r="A1874" s="63"/>
    </row>
    <row r="1875" spans="1:1">
      <c r="A1875" s="63"/>
    </row>
    <row r="1876" spans="1:1">
      <c r="A1876" s="63"/>
    </row>
    <row r="1877" spans="1:1">
      <c r="A1877" s="63"/>
    </row>
    <row r="1878" spans="1:1">
      <c r="A1878" s="63"/>
    </row>
    <row r="1879" spans="1:1">
      <c r="A1879" s="63"/>
    </row>
    <row r="1880" spans="1:1">
      <c r="A1880" s="63"/>
    </row>
    <row r="1881" spans="1:1">
      <c r="A1881" s="63"/>
    </row>
    <row r="1882" spans="1:1">
      <c r="A1882" s="63"/>
    </row>
    <row r="1883" spans="1:1">
      <c r="A1883" s="63"/>
    </row>
    <row r="1884" spans="1:1">
      <c r="A1884" s="63"/>
    </row>
    <row r="1885" spans="1:1">
      <c r="A1885" s="63"/>
    </row>
    <row r="1886" spans="1:1">
      <c r="A1886" s="63"/>
    </row>
    <row r="1887" spans="1:1">
      <c r="A1887" s="63"/>
    </row>
    <row r="1888" spans="1:1">
      <c r="A1888" s="63"/>
    </row>
    <row r="1889" spans="1:1">
      <c r="A1889" s="63"/>
    </row>
    <row r="1890" spans="1:1">
      <c r="A1890" s="63"/>
    </row>
    <row r="1891" spans="1:1">
      <c r="A1891" s="63"/>
    </row>
    <row r="1892" spans="1:1">
      <c r="A1892" s="63"/>
    </row>
    <row r="1893" spans="1:1">
      <c r="A1893" s="63"/>
    </row>
    <row r="1894" spans="1:1">
      <c r="A1894" s="63"/>
    </row>
    <row r="1895" spans="1:1">
      <c r="A1895" s="63"/>
    </row>
    <row r="1896" spans="1:1">
      <c r="A1896" s="63"/>
    </row>
    <row r="1897" spans="1:1">
      <c r="A1897" s="63"/>
    </row>
    <row r="1898" spans="1:1">
      <c r="A1898" s="63"/>
    </row>
    <row r="1899" spans="1:1">
      <c r="A1899" s="63"/>
    </row>
    <row r="1900" spans="1:1">
      <c r="A1900" s="63"/>
    </row>
    <row r="1901" spans="1:1">
      <c r="A1901" s="63"/>
    </row>
    <row r="1902" spans="1:1">
      <c r="A1902" s="63"/>
    </row>
    <row r="1903" spans="1:1">
      <c r="A1903" s="63"/>
    </row>
    <row r="1904" spans="1:1">
      <c r="A1904" s="63"/>
    </row>
    <row r="1905" spans="1:1">
      <c r="A1905" s="63"/>
    </row>
    <row r="1906" spans="1:1">
      <c r="A1906" s="63"/>
    </row>
    <row r="1907" spans="1:1">
      <c r="A1907" s="63"/>
    </row>
    <row r="1908" spans="1:1">
      <c r="A1908" s="63"/>
    </row>
    <row r="1909" spans="1:1">
      <c r="A1909" s="63"/>
    </row>
    <row r="1910" spans="1:1">
      <c r="A1910" s="63"/>
    </row>
    <row r="1911" spans="1:1">
      <c r="A1911" s="63"/>
    </row>
    <row r="1912" spans="1:1">
      <c r="A1912" s="63"/>
    </row>
    <row r="1913" spans="1:1">
      <c r="A1913" s="63"/>
    </row>
    <row r="1914" spans="1:1">
      <c r="A1914" s="63"/>
    </row>
    <row r="1915" spans="1:1">
      <c r="A1915" s="63"/>
    </row>
    <row r="1916" spans="1:1">
      <c r="A1916" s="63"/>
    </row>
    <row r="1917" spans="1:1">
      <c r="A1917" s="63"/>
    </row>
    <row r="1918" spans="1:1">
      <c r="A1918" s="63"/>
    </row>
    <row r="1919" spans="1:1">
      <c r="A1919" s="63"/>
    </row>
    <row r="1920" spans="1:1">
      <c r="A1920" s="63"/>
    </row>
    <row r="1921" spans="1:1">
      <c r="A1921" s="63"/>
    </row>
    <row r="1922" spans="1:1">
      <c r="A1922" s="63"/>
    </row>
    <row r="1923" spans="1:1">
      <c r="A1923" s="63"/>
    </row>
    <row r="1924" spans="1:1">
      <c r="A1924" s="63"/>
    </row>
    <row r="1925" spans="1:1">
      <c r="A1925" s="63"/>
    </row>
    <row r="1926" spans="1:1">
      <c r="A1926" s="63"/>
    </row>
    <row r="1927" spans="1:1">
      <c r="A1927" s="63"/>
    </row>
    <row r="1928" spans="1:1">
      <c r="A1928" s="63"/>
    </row>
    <row r="1929" spans="1:1">
      <c r="A1929" s="63"/>
    </row>
    <row r="1930" spans="1:1">
      <c r="A1930" s="63"/>
    </row>
    <row r="1931" spans="1:1">
      <c r="A1931" s="63"/>
    </row>
    <row r="1932" spans="1:1">
      <c r="A1932" s="63"/>
    </row>
    <row r="1933" spans="1:1">
      <c r="A1933" s="63"/>
    </row>
    <row r="1934" spans="1:1">
      <c r="A1934" s="63"/>
    </row>
    <row r="1935" spans="1:1">
      <c r="A1935" s="63"/>
    </row>
    <row r="1936" spans="1:1">
      <c r="A1936" s="63"/>
    </row>
    <row r="1937" spans="1:1">
      <c r="A1937" s="63"/>
    </row>
    <row r="1938" spans="1:1">
      <c r="A1938" s="63"/>
    </row>
    <row r="1939" spans="1:1">
      <c r="A1939" s="63"/>
    </row>
    <row r="1940" spans="1:1">
      <c r="A1940" s="63"/>
    </row>
    <row r="1941" spans="1:1">
      <c r="A1941" s="63"/>
    </row>
    <row r="1942" spans="1:1">
      <c r="A1942" s="63"/>
    </row>
    <row r="1943" spans="1:1">
      <c r="A1943" s="63"/>
    </row>
    <row r="1944" spans="1:1">
      <c r="A1944" s="63"/>
    </row>
    <row r="1945" spans="1:1">
      <c r="A1945" s="63"/>
    </row>
    <row r="1946" spans="1:1">
      <c r="A1946" s="63"/>
    </row>
    <row r="1947" spans="1:1">
      <c r="A1947" s="63"/>
    </row>
    <row r="1948" spans="1:1">
      <c r="A1948" s="63"/>
    </row>
    <row r="1949" spans="1:1">
      <c r="A1949" s="63"/>
    </row>
    <row r="1950" spans="1:1">
      <c r="A1950" s="63"/>
    </row>
    <row r="1951" spans="1:1">
      <c r="A1951" s="63"/>
    </row>
    <row r="1952" spans="1:1">
      <c r="A1952" s="63"/>
    </row>
    <row r="1953" spans="1:1">
      <c r="A1953" s="63"/>
    </row>
    <row r="1954" spans="1:1">
      <c r="A1954" s="63"/>
    </row>
    <row r="1955" spans="1:1">
      <c r="A1955" s="63"/>
    </row>
    <row r="1956" spans="1:1">
      <c r="A1956" s="63"/>
    </row>
    <row r="1957" spans="1:1">
      <c r="A1957" s="63"/>
    </row>
    <row r="1958" spans="1:1">
      <c r="A1958" s="63"/>
    </row>
    <row r="1959" spans="1:1">
      <c r="A1959" s="63"/>
    </row>
    <row r="1960" spans="1:1">
      <c r="A1960" s="63"/>
    </row>
    <row r="1961" spans="1:1">
      <c r="A1961" s="63"/>
    </row>
    <row r="1962" spans="1:1">
      <c r="A1962" s="63"/>
    </row>
    <row r="1963" spans="1:1">
      <c r="A1963" s="63"/>
    </row>
    <row r="1964" spans="1:1">
      <c r="A1964" s="63"/>
    </row>
    <row r="1965" spans="1:1">
      <c r="A1965" s="63"/>
    </row>
    <row r="1966" spans="1:1">
      <c r="A1966" s="63"/>
    </row>
    <row r="1967" spans="1:1">
      <c r="A1967" s="63"/>
    </row>
    <row r="1968" spans="1:1">
      <c r="A1968" s="63"/>
    </row>
    <row r="1969" spans="1:1">
      <c r="A1969" s="63"/>
    </row>
    <row r="1970" spans="1:1">
      <c r="A1970" s="63"/>
    </row>
    <row r="1971" spans="1:1">
      <c r="A1971" s="63"/>
    </row>
    <row r="1972" spans="1:1">
      <c r="A1972" s="63"/>
    </row>
    <row r="1973" spans="1:1">
      <c r="A1973" s="63"/>
    </row>
    <row r="1974" spans="1:1">
      <c r="A1974" s="63"/>
    </row>
    <row r="1975" spans="1:1">
      <c r="A1975" s="63"/>
    </row>
    <row r="1976" spans="1:1">
      <c r="A1976" s="63"/>
    </row>
    <row r="1977" spans="1:1">
      <c r="A1977" s="63"/>
    </row>
    <row r="1978" spans="1:1">
      <c r="A1978" s="63"/>
    </row>
    <row r="1979" spans="1:1">
      <c r="A1979" s="63"/>
    </row>
    <row r="1980" spans="1:1">
      <c r="A1980" s="63"/>
    </row>
    <row r="1981" spans="1:1">
      <c r="A1981" s="63"/>
    </row>
    <row r="1982" spans="1:1">
      <c r="A1982" s="63"/>
    </row>
    <row r="1983" spans="1:1">
      <c r="A1983" s="63"/>
    </row>
    <row r="1984" spans="1:1">
      <c r="A1984" s="63"/>
    </row>
    <row r="1985" spans="1:1">
      <c r="A1985" s="63"/>
    </row>
    <row r="1986" spans="1:1">
      <c r="A1986" s="63"/>
    </row>
    <row r="1987" spans="1:1">
      <c r="A1987" s="63"/>
    </row>
    <row r="1988" spans="1:1">
      <c r="A1988" s="63"/>
    </row>
    <row r="1989" spans="1:1">
      <c r="A1989" s="63"/>
    </row>
    <row r="1990" spans="1:1">
      <c r="A1990" s="63"/>
    </row>
    <row r="1991" spans="1:1">
      <c r="A1991" s="63"/>
    </row>
    <row r="1992" spans="1:1">
      <c r="A1992" s="63"/>
    </row>
    <row r="1993" spans="1:1">
      <c r="A1993" s="63"/>
    </row>
    <row r="1994" spans="1:1">
      <c r="A1994" s="63"/>
    </row>
    <row r="1995" spans="1:1">
      <c r="A1995" s="63"/>
    </row>
    <row r="1996" spans="1:1">
      <c r="A1996" s="63"/>
    </row>
    <row r="1997" spans="1:1">
      <c r="A1997" s="63"/>
    </row>
    <row r="1998" spans="1:1">
      <c r="A1998" s="63"/>
    </row>
    <row r="1999" spans="1:1">
      <c r="A1999" s="63"/>
    </row>
    <row r="2000" spans="1:1">
      <c r="A2000" s="63"/>
    </row>
    <row r="2001" spans="1:1">
      <c r="A2001" s="63"/>
    </row>
    <row r="2002" spans="1:1">
      <c r="A2002" s="63"/>
    </row>
    <row r="2003" spans="1:1">
      <c r="A2003" s="63"/>
    </row>
    <row r="2004" spans="1:1">
      <c r="A2004" s="63"/>
    </row>
    <row r="2005" spans="1:1">
      <c r="A2005" s="63"/>
    </row>
    <row r="2006" spans="1:1">
      <c r="A2006" s="63"/>
    </row>
    <row r="2007" spans="1:1">
      <c r="A2007" s="63"/>
    </row>
    <row r="2008" spans="1:1">
      <c r="A2008" s="63"/>
    </row>
    <row r="2009" spans="1:1">
      <c r="A2009" s="63"/>
    </row>
    <row r="2010" spans="1:1">
      <c r="A2010" s="63"/>
    </row>
    <row r="2011" spans="1:1">
      <c r="A2011" s="63"/>
    </row>
    <row r="2012" spans="1:1">
      <c r="A2012" s="63"/>
    </row>
    <row r="2013" spans="1:1">
      <c r="A2013" s="63"/>
    </row>
    <row r="2014" spans="1:1">
      <c r="A2014" s="63"/>
    </row>
    <row r="2015" spans="1:1">
      <c r="A2015" s="63"/>
    </row>
    <row r="2016" spans="1:1">
      <c r="A2016" s="63"/>
    </row>
    <row r="2017" spans="1:1">
      <c r="A2017" s="63"/>
    </row>
    <row r="2018" spans="1:1">
      <c r="A2018" s="63"/>
    </row>
    <row r="2019" spans="1:1">
      <c r="A2019" s="63"/>
    </row>
    <row r="2020" spans="1:1">
      <c r="A2020" s="63"/>
    </row>
    <row r="2021" spans="1:1">
      <c r="A2021" s="63"/>
    </row>
    <row r="2022" spans="1:1">
      <c r="A2022" s="63"/>
    </row>
    <row r="2023" spans="1:1">
      <c r="A2023" s="63"/>
    </row>
    <row r="2024" spans="1:1">
      <c r="A2024" s="63"/>
    </row>
    <row r="2025" spans="1:1">
      <c r="A2025" s="63"/>
    </row>
    <row r="2026" spans="1:1">
      <c r="A2026" s="63"/>
    </row>
    <row r="2027" spans="1:1">
      <c r="A2027" s="63"/>
    </row>
    <row r="2028" spans="1:1">
      <c r="A2028" s="63"/>
    </row>
    <row r="2029" spans="1:1">
      <c r="A2029" s="63"/>
    </row>
    <row r="2030" spans="1:1">
      <c r="A2030" s="63"/>
    </row>
    <row r="2031" spans="1:1">
      <c r="A2031" s="63"/>
    </row>
    <row r="2032" spans="1:1">
      <c r="A2032" s="63"/>
    </row>
    <row r="2033" spans="1:1">
      <c r="A2033" s="63"/>
    </row>
    <row r="2034" spans="1:1">
      <c r="A2034" s="63"/>
    </row>
    <row r="2035" spans="1:1">
      <c r="A2035" s="63"/>
    </row>
    <row r="2036" spans="1:1">
      <c r="A2036" s="63"/>
    </row>
    <row r="2037" spans="1:1">
      <c r="A2037" s="63"/>
    </row>
    <row r="2038" spans="1:1">
      <c r="A2038" s="63"/>
    </row>
    <row r="2039" spans="1:1">
      <c r="A2039" s="63"/>
    </row>
    <row r="2040" spans="1:1">
      <c r="A2040" s="63"/>
    </row>
    <row r="2041" spans="1:1">
      <c r="A2041" s="63"/>
    </row>
    <row r="2042" spans="1:1">
      <c r="A2042" s="63"/>
    </row>
    <row r="2043" spans="1:1">
      <c r="A2043" s="63"/>
    </row>
    <row r="2044" spans="1:1">
      <c r="A2044" s="63"/>
    </row>
    <row r="2045" spans="1:1">
      <c r="A2045" s="63"/>
    </row>
    <row r="2046" spans="1:1">
      <c r="A2046" s="63"/>
    </row>
    <row r="2047" spans="1:1">
      <c r="A2047" s="63"/>
    </row>
    <row r="2048" spans="1:1">
      <c r="A2048" s="63"/>
    </row>
    <row r="2049" spans="1:1">
      <c r="A2049" s="63"/>
    </row>
    <row r="2050" spans="1:1">
      <c r="A2050" s="63"/>
    </row>
    <row r="2051" spans="1:1">
      <c r="A2051" s="63"/>
    </row>
    <row r="2052" spans="1:1">
      <c r="A2052" s="63"/>
    </row>
    <row r="2053" spans="1:1">
      <c r="A2053" s="63"/>
    </row>
    <row r="2054" spans="1:1">
      <c r="A2054" s="63"/>
    </row>
    <row r="2055" spans="1:1">
      <c r="A2055" s="63"/>
    </row>
    <row r="2056" spans="1:1">
      <c r="A2056" s="63"/>
    </row>
    <row r="2057" spans="1:1">
      <c r="A2057" s="63"/>
    </row>
    <row r="2058" spans="1:1">
      <c r="A2058" s="63"/>
    </row>
    <row r="2059" spans="1:1">
      <c r="A2059" s="63"/>
    </row>
    <row r="2060" spans="1:1">
      <c r="A2060" s="63"/>
    </row>
    <row r="2061" spans="1:1">
      <c r="A2061" s="63"/>
    </row>
    <row r="2062" spans="1:1">
      <c r="A2062" s="63"/>
    </row>
    <row r="2063" spans="1:1">
      <c r="A2063" s="63"/>
    </row>
    <row r="2064" spans="1:1">
      <c r="A2064" s="63"/>
    </row>
    <row r="2065" spans="1:1">
      <c r="A2065" s="63"/>
    </row>
    <row r="2066" spans="1:1">
      <c r="A2066" s="63"/>
    </row>
    <row r="2067" spans="1:1">
      <c r="A2067" s="63"/>
    </row>
    <row r="2068" spans="1:1">
      <c r="A2068" s="63"/>
    </row>
    <row r="2069" spans="1:1">
      <c r="A2069" s="63"/>
    </row>
    <row r="2070" spans="1:1">
      <c r="A2070" s="63"/>
    </row>
    <row r="2071" spans="1:1">
      <c r="A2071" s="63"/>
    </row>
    <row r="2072" spans="1:1">
      <c r="A2072" s="63"/>
    </row>
    <row r="2073" spans="1:1">
      <c r="A2073" s="63"/>
    </row>
    <row r="2074" spans="1:1">
      <c r="A2074" s="63"/>
    </row>
    <row r="2075" spans="1:1">
      <c r="A2075" s="63"/>
    </row>
    <row r="2076" spans="1:1">
      <c r="A2076" s="63"/>
    </row>
    <row r="2077" spans="1:1">
      <c r="A2077" s="63"/>
    </row>
    <row r="2078" spans="1:1">
      <c r="A2078" s="63"/>
    </row>
    <row r="2079" spans="1:1">
      <c r="A2079" s="63"/>
    </row>
    <row r="2080" spans="1:1">
      <c r="A2080" s="63"/>
    </row>
    <row r="2081" spans="1:1">
      <c r="A2081" s="63"/>
    </row>
    <row r="2082" spans="1:1">
      <c r="A2082" s="63"/>
    </row>
    <row r="2083" spans="1:1">
      <c r="A2083" s="63"/>
    </row>
    <row r="2084" spans="1:1">
      <c r="A2084" s="63"/>
    </row>
    <row r="2085" spans="1:1">
      <c r="A2085" s="63"/>
    </row>
    <row r="2086" spans="1:1">
      <c r="A2086" s="63"/>
    </row>
    <row r="2087" spans="1:1">
      <c r="A2087" s="63"/>
    </row>
    <row r="2088" spans="1:1">
      <c r="A2088" s="63"/>
    </row>
    <row r="2089" spans="1:1">
      <c r="A2089" s="63"/>
    </row>
    <row r="2090" spans="1:1">
      <c r="A2090" s="63"/>
    </row>
    <row r="2091" spans="1:1">
      <c r="A2091" s="63"/>
    </row>
    <row r="2092" spans="1:1">
      <c r="A2092" s="63"/>
    </row>
    <row r="2093" spans="1:1">
      <c r="A2093" s="63"/>
    </row>
    <row r="2094" spans="1:1">
      <c r="A2094" s="63"/>
    </row>
    <row r="2095" spans="1:1">
      <c r="A2095" s="63"/>
    </row>
    <row r="2096" spans="1:1">
      <c r="A2096" s="63"/>
    </row>
    <row r="2097" spans="1:1">
      <c r="A2097" s="63"/>
    </row>
    <row r="2098" spans="1:1">
      <c r="A2098" s="63"/>
    </row>
    <row r="2099" spans="1:1">
      <c r="A2099" s="63"/>
    </row>
    <row r="2100" spans="1:1">
      <c r="A2100" s="63"/>
    </row>
    <row r="2101" spans="1:1">
      <c r="A2101" s="63"/>
    </row>
    <row r="2102" spans="1:1">
      <c r="A2102" s="63"/>
    </row>
    <row r="2103" spans="1:1">
      <c r="A2103" s="63"/>
    </row>
    <row r="2104" spans="1:1">
      <c r="A2104" s="63"/>
    </row>
    <row r="2105" spans="1:1">
      <c r="A2105" s="63"/>
    </row>
    <row r="2106" spans="1:1">
      <c r="A2106" s="63"/>
    </row>
    <row r="2107" spans="1:1">
      <c r="A2107" s="63"/>
    </row>
    <row r="2108" spans="1:1">
      <c r="A2108" s="63"/>
    </row>
    <row r="2109" spans="1:1">
      <c r="A2109" s="63"/>
    </row>
    <row r="2110" spans="1:1">
      <c r="A2110" s="63"/>
    </row>
    <row r="2111" spans="1:1">
      <c r="A2111" s="63"/>
    </row>
    <row r="2112" spans="1:1">
      <c r="A2112" s="63"/>
    </row>
    <row r="2113" spans="1:1">
      <c r="A2113" s="63"/>
    </row>
    <row r="2114" spans="1:1">
      <c r="A2114" s="63"/>
    </row>
    <row r="2115" spans="1:1">
      <c r="A2115" s="63"/>
    </row>
    <row r="2116" spans="1:1">
      <c r="A2116" s="63"/>
    </row>
    <row r="2117" spans="1:1">
      <c r="A2117" s="63"/>
    </row>
    <row r="2118" spans="1:1">
      <c r="A2118" s="63"/>
    </row>
    <row r="2119" spans="1:1">
      <c r="A2119" s="63"/>
    </row>
    <row r="2120" spans="1:1">
      <c r="A2120" s="63"/>
    </row>
    <row r="2121" spans="1:1">
      <c r="A2121" s="63"/>
    </row>
    <row r="2122" spans="1:1">
      <c r="A2122" s="63"/>
    </row>
    <row r="2123" spans="1:1">
      <c r="A2123" s="63"/>
    </row>
    <row r="2124" spans="1:1">
      <c r="A2124" s="63"/>
    </row>
    <row r="2125" spans="1:1">
      <c r="A2125" s="63"/>
    </row>
    <row r="2126" spans="1:1">
      <c r="A2126" s="63"/>
    </row>
    <row r="2127" spans="1:1">
      <c r="A2127" s="63"/>
    </row>
    <row r="2128" spans="1:1">
      <c r="A2128" s="63"/>
    </row>
    <row r="2129" spans="1:1">
      <c r="A2129" s="63"/>
    </row>
    <row r="2130" spans="1:1">
      <c r="A2130" s="63"/>
    </row>
    <row r="2131" spans="1:1">
      <c r="A2131" s="63"/>
    </row>
    <row r="2132" spans="1:1">
      <c r="A2132" s="63"/>
    </row>
    <row r="2133" spans="1:1">
      <c r="A2133" s="63"/>
    </row>
    <row r="2134" spans="1:1">
      <c r="A2134" s="63"/>
    </row>
    <row r="2135" spans="1:1">
      <c r="A2135" s="63"/>
    </row>
    <row r="2136" spans="1:1">
      <c r="A2136" s="63"/>
    </row>
  </sheetData>
  <mergeCells count="2">
    <mergeCell ref="D9:F9"/>
    <mergeCell ref="G9:I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I2136"/>
  <sheetViews>
    <sheetView topLeftCell="A7" workbookViewId="0">
      <selection activeCell="E11" sqref="E11"/>
    </sheetView>
  </sheetViews>
  <sheetFormatPr defaultColWidth="9.140625" defaultRowHeight="15"/>
  <cols>
    <col min="1" max="1" width="10.85546875" style="149" customWidth="1"/>
    <col min="2" max="2" width="9.140625" style="149"/>
    <col min="3" max="4" width="9.7109375" style="149" customWidth="1"/>
    <col min="5" max="5" width="9.42578125" style="149" customWidth="1"/>
    <col min="6" max="6" width="10.5703125" style="149" customWidth="1"/>
    <col min="7" max="8" width="9.5703125" style="149" customWidth="1"/>
    <col min="9" max="9" width="9.7109375" style="149" customWidth="1"/>
    <col min="10" max="16384" width="9.140625" style="149"/>
  </cols>
  <sheetData>
    <row r="1" spans="1:9" ht="18.75">
      <c r="A1" s="18" t="s">
        <v>649</v>
      </c>
    </row>
    <row r="3" spans="1:9" ht="15.75">
      <c r="A3" s="21" t="s">
        <v>167</v>
      </c>
    </row>
    <row r="4" spans="1:9">
      <c r="A4" s="149" t="s">
        <v>168</v>
      </c>
    </row>
    <row r="6" spans="1:9">
      <c r="C6" s="36" t="s">
        <v>165</v>
      </c>
      <c r="F6" s="63" t="e">
        <f>INDEX($A11:$A72,MATCH(0,F11:F72,0))</f>
        <v>#N/A</v>
      </c>
    </row>
    <row r="7" spans="1:9">
      <c r="C7" s="36" t="s">
        <v>166</v>
      </c>
      <c r="F7" s="103" t="e">
        <f>YEARFRAC(F6,DATE(YEAR(F6), 1,1))+YEAR(F6)</f>
        <v>#N/A</v>
      </c>
    </row>
    <row r="8" spans="1:9" ht="7.5" customHeight="1"/>
    <row r="9" spans="1:9">
      <c r="C9" s="47"/>
      <c r="D9" s="384" t="s">
        <v>650</v>
      </c>
      <c r="E9" s="384"/>
      <c r="F9" s="385"/>
      <c r="G9" s="383" t="s">
        <v>651</v>
      </c>
      <c r="H9" s="383"/>
      <c r="I9" s="383"/>
    </row>
    <row r="10" spans="1:9" ht="75">
      <c r="A10" s="14" t="s">
        <v>113</v>
      </c>
      <c r="B10" s="14" t="s">
        <v>114</v>
      </c>
      <c r="C10" s="67" t="s">
        <v>115</v>
      </c>
      <c r="D10" s="64" t="s">
        <v>123</v>
      </c>
      <c r="E10" s="64" t="s">
        <v>121</v>
      </c>
      <c r="F10" s="65" t="s">
        <v>117</v>
      </c>
      <c r="G10" s="111" t="s">
        <v>161</v>
      </c>
      <c r="H10" s="14" t="s">
        <v>164</v>
      </c>
      <c r="I10" s="67" t="s">
        <v>162</v>
      </c>
    </row>
    <row r="11" spans="1:9">
      <c r="A11" s="63">
        <v>42916</v>
      </c>
      <c r="B11" s="149">
        <f>IF(MONTH(A11)&gt;6, YEAR(A11)+1, YEAR(A11))</f>
        <v>2017</v>
      </c>
      <c r="C11" s="68">
        <f>(A11-DATE(B11-1,6,30))/(DATE(B11,6,30)-DATE(B11-1, 6, 30))</f>
        <v>1</v>
      </c>
      <c r="D11" s="34">
        <f>INDEX('SB 26'!$B$61:$G$61,1,$B11-2016)</f>
        <v>8647.8000000000011</v>
      </c>
      <c r="E11" s="34">
        <f>INDEX('SB 26'!$B$59:$G$59,1,$B11-2016)+INDEX('SB 26'!$B$62:$G$62,1,$B11-2016)+INDEX('SB 26'!$B$63:$G$63,1,$B11-2016)</f>
        <v>-2476.0074000000004</v>
      </c>
      <c r="F11" s="66">
        <f>MAX(0,D11+E11*$C11)</f>
        <v>6171.7926000000007</v>
      </c>
      <c r="G11" s="13">
        <f>INDEX('PF Model'!$F$151:$K$151,1,$B11-2016)</f>
        <v>9266</v>
      </c>
      <c r="H11" s="13">
        <f>INDEX('PF Model'!$G$150:$L$150,1,$B11-2016)</f>
        <v>2404.4690515033049</v>
      </c>
      <c r="I11" s="66">
        <f>MAX(0,G11+H11*$C11)</f>
        <v>11670.469051503305</v>
      </c>
    </row>
    <row r="12" spans="1:9">
      <c r="A12" s="63">
        <v>42931</v>
      </c>
      <c r="B12" s="149">
        <f t="shared" ref="B12:B72" si="0">IF(MONTH(A12)&gt;6, YEAR(A12)+1, YEAR(A12))</f>
        <v>2018</v>
      </c>
      <c r="C12" s="68">
        <f t="shared" ref="C12:C72" si="1">(A12-DATE(B12-1,6,30))/(DATE(B12,6,30)-DATE(B12-1, 6, 30))</f>
        <v>4.1095890410958902E-2</v>
      </c>
      <c r="D12" s="34">
        <f>INDEX('SB 26'!$B$61:$G$61,1,$B12-2016)</f>
        <v>6171.7926000000007</v>
      </c>
      <c r="E12" s="34">
        <f>INDEX('SB 26'!$B$59:$G$59,1,$B12-2016)+INDEX('SB 26'!$B$62:$G$62,1,$B12-2016)+INDEX('SB 26'!$B$63:$G$63,1,$B12-2016)</f>
        <v>-1472.5369165839147</v>
      </c>
      <c r="F12" s="66">
        <f t="shared" ref="F12:F72" si="2">MAX(0,D12+E12*$C12)</f>
        <v>6111.2773842499764</v>
      </c>
      <c r="G12" s="13">
        <f>INDEX('PF Model'!$F$151:$K$151,1,$B12-2016)</f>
        <v>11670.469051503305</v>
      </c>
      <c r="H12" s="13">
        <f>INDEX('PF Model'!$G$150:$L$150,1,$B12-2016)</f>
        <v>-1720.9614885139417</v>
      </c>
      <c r="I12" s="66">
        <f t="shared" ref="I12:I72" si="3">MAX(0,G12+H12*$C12)</f>
        <v>11599.744606769857</v>
      </c>
    </row>
    <row r="13" spans="1:9">
      <c r="A13" s="63">
        <v>42962</v>
      </c>
      <c r="B13" s="149">
        <f t="shared" si="0"/>
        <v>2018</v>
      </c>
      <c r="C13" s="68">
        <f t="shared" si="1"/>
        <v>0.12602739726027398</v>
      </c>
      <c r="D13" s="34">
        <f>INDEX('SB 26'!$B$61:$G$61,1,$B13-2016)</f>
        <v>6171.7926000000007</v>
      </c>
      <c r="E13" s="34">
        <f>INDEX('SB 26'!$B$59:$G$59,1,$B13-2016)+INDEX('SB 26'!$B$62:$G$62,1,$B13-2016)+INDEX('SB 26'!$B$63:$G$63,1,$B13-2016)</f>
        <v>-1472.5369165839147</v>
      </c>
      <c r="F13" s="66">
        <f t="shared" si="2"/>
        <v>5986.2126050332608</v>
      </c>
      <c r="G13" s="13">
        <f>INDEX('PF Model'!$F$151:$K$151,1,$B13-2016)</f>
        <v>11670.469051503305</v>
      </c>
      <c r="H13" s="13">
        <f>INDEX('PF Model'!$G$150:$L$150,1,$B13-2016)</f>
        <v>-1720.9614885139417</v>
      </c>
      <c r="I13" s="66">
        <f t="shared" si="3"/>
        <v>11453.580754320727</v>
      </c>
    </row>
    <row r="14" spans="1:9">
      <c r="A14" s="63">
        <v>42993</v>
      </c>
      <c r="B14" s="149">
        <f t="shared" si="0"/>
        <v>2018</v>
      </c>
      <c r="C14" s="68">
        <f t="shared" si="1"/>
        <v>0.21095890410958903</v>
      </c>
      <c r="D14" s="34">
        <f>INDEX('SB 26'!$B$61:$G$61,1,$B14-2016)</f>
        <v>6171.7926000000007</v>
      </c>
      <c r="E14" s="34">
        <f>INDEX('SB 26'!$B$59:$G$59,1,$B14-2016)+INDEX('SB 26'!$B$62:$G$62,1,$B14-2016)+INDEX('SB 26'!$B$63:$G$63,1,$B14-2016)</f>
        <v>-1472.5369165839147</v>
      </c>
      <c r="F14" s="66">
        <f t="shared" si="2"/>
        <v>5861.1478258165444</v>
      </c>
      <c r="G14" s="13">
        <f>INDEX('PF Model'!$F$151:$K$151,1,$B14-2016)</f>
        <v>11670.469051503305</v>
      </c>
      <c r="H14" s="13">
        <f>INDEX('PF Model'!$G$150:$L$150,1,$B14-2016)</f>
        <v>-1720.9614885139417</v>
      </c>
      <c r="I14" s="66">
        <f t="shared" si="3"/>
        <v>11307.416901871597</v>
      </c>
    </row>
    <row r="15" spans="1:9">
      <c r="A15" s="63">
        <v>43023</v>
      </c>
      <c r="B15" s="149">
        <f t="shared" si="0"/>
        <v>2018</v>
      </c>
      <c r="C15" s="68">
        <f t="shared" si="1"/>
        <v>0.29315068493150687</v>
      </c>
      <c r="D15" s="34">
        <f>INDEX('SB 26'!$B$61:$G$61,1,$B15-2016)</f>
        <v>6171.7926000000007</v>
      </c>
      <c r="E15" s="34">
        <f>INDEX('SB 26'!$B$59:$G$59,1,$B15-2016)+INDEX('SB 26'!$B$62:$G$62,1,$B15-2016)+INDEX('SB 26'!$B$63:$G$63,1,$B15-2016)</f>
        <v>-1472.5369165839147</v>
      </c>
      <c r="F15" s="66">
        <f t="shared" si="2"/>
        <v>5740.1173943164968</v>
      </c>
      <c r="G15" s="13">
        <f>INDEX('PF Model'!$F$151:$K$151,1,$B15-2016)</f>
        <v>11670.469051503305</v>
      </c>
      <c r="H15" s="13">
        <f>INDEX('PF Model'!$G$150:$L$150,1,$B15-2016)</f>
        <v>-1720.9614885139417</v>
      </c>
      <c r="I15" s="66">
        <f t="shared" si="3"/>
        <v>11165.968012404697</v>
      </c>
    </row>
    <row r="16" spans="1:9">
      <c r="A16" s="63">
        <v>43054</v>
      </c>
      <c r="B16" s="149">
        <f t="shared" si="0"/>
        <v>2018</v>
      </c>
      <c r="C16" s="68">
        <f t="shared" si="1"/>
        <v>0.37808219178082192</v>
      </c>
      <c r="D16" s="34">
        <f>INDEX('SB 26'!$B$61:$G$61,1,$B16-2016)</f>
        <v>6171.7926000000007</v>
      </c>
      <c r="E16" s="34">
        <f>INDEX('SB 26'!$B$59:$G$59,1,$B16-2016)+INDEX('SB 26'!$B$62:$G$62,1,$B16-2016)+INDEX('SB 26'!$B$63:$G$63,1,$B16-2016)</f>
        <v>-1472.5369165839147</v>
      </c>
      <c r="F16" s="66">
        <f t="shared" si="2"/>
        <v>5615.0526150997812</v>
      </c>
      <c r="G16" s="13">
        <f>INDEX('PF Model'!$F$151:$K$151,1,$B16-2016)</f>
        <v>11670.469051503305</v>
      </c>
      <c r="H16" s="13">
        <f>INDEX('PF Model'!$G$150:$L$150,1,$B16-2016)</f>
        <v>-1720.9614885139417</v>
      </c>
      <c r="I16" s="66">
        <f t="shared" si="3"/>
        <v>11019.804159955569</v>
      </c>
    </row>
    <row r="17" spans="1:9">
      <c r="A17" s="63">
        <v>43084</v>
      </c>
      <c r="B17" s="149">
        <f t="shared" si="0"/>
        <v>2018</v>
      </c>
      <c r="C17" s="68">
        <f t="shared" si="1"/>
        <v>0.46027397260273972</v>
      </c>
      <c r="D17" s="34">
        <f>INDEX('SB 26'!$B$61:$G$61,1,$B17-2016)</f>
        <v>6171.7926000000007</v>
      </c>
      <c r="E17" s="34">
        <f>INDEX('SB 26'!$B$59:$G$59,1,$B17-2016)+INDEX('SB 26'!$B$62:$G$62,1,$B17-2016)+INDEX('SB 26'!$B$63:$G$63,1,$B17-2016)</f>
        <v>-1472.5369165839147</v>
      </c>
      <c r="F17" s="66">
        <f t="shared" si="2"/>
        <v>5494.0221835997327</v>
      </c>
      <c r="G17" s="13">
        <f>INDEX('PF Model'!$F$151:$K$151,1,$B17-2016)</f>
        <v>11670.469051503305</v>
      </c>
      <c r="H17" s="13">
        <f>INDEX('PF Model'!$G$150:$L$150,1,$B17-2016)</f>
        <v>-1720.9614885139417</v>
      </c>
      <c r="I17" s="66">
        <f t="shared" si="3"/>
        <v>10878.35527048867</v>
      </c>
    </row>
    <row r="18" spans="1:9">
      <c r="A18" s="63">
        <v>43115</v>
      </c>
      <c r="B18" s="149">
        <f t="shared" si="0"/>
        <v>2018</v>
      </c>
      <c r="C18" s="68">
        <f t="shared" si="1"/>
        <v>0.54520547945205478</v>
      </c>
      <c r="D18" s="34">
        <f>INDEX('SB 26'!$B$61:$G$61,1,$B18-2016)</f>
        <v>6171.7926000000007</v>
      </c>
      <c r="E18" s="34">
        <f>INDEX('SB 26'!$B$59:$G$59,1,$B18-2016)+INDEX('SB 26'!$B$62:$G$62,1,$B18-2016)+INDEX('SB 26'!$B$63:$G$63,1,$B18-2016)</f>
        <v>-1472.5369165839147</v>
      </c>
      <c r="F18" s="66">
        <f t="shared" si="2"/>
        <v>5368.9574043830171</v>
      </c>
      <c r="G18" s="13">
        <f>INDEX('PF Model'!$F$151:$K$151,1,$B18-2016)</f>
        <v>11670.469051503305</v>
      </c>
      <c r="H18" s="13">
        <f>INDEX('PF Model'!$G$150:$L$150,1,$B18-2016)</f>
        <v>-1720.9614885139417</v>
      </c>
      <c r="I18" s="66">
        <f t="shared" si="3"/>
        <v>10732.19141803954</v>
      </c>
    </row>
    <row r="19" spans="1:9">
      <c r="A19" s="63">
        <v>43146</v>
      </c>
      <c r="B19" s="149">
        <f t="shared" si="0"/>
        <v>2018</v>
      </c>
      <c r="C19" s="68">
        <f t="shared" si="1"/>
        <v>0.63013698630136983</v>
      </c>
      <c r="D19" s="34">
        <f>INDEX('SB 26'!$B$61:$G$61,1,$B19-2016)</f>
        <v>6171.7926000000007</v>
      </c>
      <c r="E19" s="34">
        <f>INDEX('SB 26'!$B$59:$G$59,1,$B19-2016)+INDEX('SB 26'!$B$62:$G$62,1,$B19-2016)+INDEX('SB 26'!$B$63:$G$63,1,$B19-2016)</f>
        <v>-1472.5369165839147</v>
      </c>
      <c r="F19" s="66">
        <f t="shared" si="2"/>
        <v>5243.8926251663015</v>
      </c>
      <c r="G19" s="13">
        <f>INDEX('PF Model'!$F$151:$K$151,1,$B19-2016)</f>
        <v>11670.469051503305</v>
      </c>
      <c r="H19" s="13">
        <f>INDEX('PF Model'!$G$150:$L$150,1,$B19-2016)</f>
        <v>-1720.9614885139417</v>
      </c>
      <c r="I19" s="66">
        <f t="shared" si="3"/>
        <v>10586.027565590412</v>
      </c>
    </row>
    <row r="20" spans="1:9">
      <c r="A20" s="63">
        <v>43174</v>
      </c>
      <c r="B20" s="149">
        <f t="shared" si="0"/>
        <v>2018</v>
      </c>
      <c r="C20" s="68">
        <f t="shared" si="1"/>
        <v>0.70684931506849313</v>
      </c>
      <c r="D20" s="34">
        <f>INDEX('SB 26'!$B$61:$G$61,1,$B20-2016)</f>
        <v>6171.7926000000007</v>
      </c>
      <c r="E20" s="34">
        <f>INDEX('SB 26'!$B$59:$G$59,1,$B20-2016)+INDEX('SB 26'!$B$62:$G$62,1,$B20-2016)+INDEX('SB 26'!$B$63:$G$63,1,$B20-2016)</f>
        <v>-1472.5369165839147</v>
      </c>
      <c r="F20" s="66">
        <f t="shared" si="2"/>
        <v>5130.9308890995899</v>
      </c>
      <c r="G20" s="13">
        <f>INDEX('PF Model'!$F$151:$K$151,1,$B20-2016)</f>
        <v>11670.469051503305</v>
      </c>
      <c r="H20" s="13">
        <f>INDEX('PF Model'!$G$150:$L$150,1,$B20-2016)</f>
        <v>-1720.9614885139417</v>
      </c>
      <c r="I20" s="66">
        <f t="shared" si="3"/>
        <v>10454.008602087972</v>
      </c>
    </row>
    <row r="21" spans="1:9">
      <c r="A21" s="63">
        <v>43205</v>
      </c>
      <c r="B21" s="149">
        <f t="shared" si="0"/>
        <v>2018</v>
      </c>
      <c r="C21" s="68">
        <f t="shared" si="1"/>
        <v>0.79178082191780819</v>
      </c>
      <c r="D21" s="34">
        <f>INDEX('SB 26'!$B$61:$G$61,1,$B21-2016)</f>
        <v>6171.7926000000007</v>
      </c>
      <c r="E21" s="34">
        <f>INDEX('SB 26'!$B$59:$G$59,1,$B21-2016)+INDEX('SB 26'!$B$62:$G$62,1,$B21-2016)+INDEX('SB 26'!$B$63:$G$63,1,$B21-2016)</f>
        <v>-1472.5369165839147</v>
      </c>
      <c r="F21" s="66">
        <f t="shared" si="2"/>
        <v>5005.8661098828734</v>
      </c>
      <c r="G21" s="13">
        <f>INDEX('PF Model'!$F$151:$K$151,1,$B21-2016)</f>
        <v>11670.469051503305</v>
      </c>
      <c r="H21" s="13">
        <f>INDEX('PF Model'!$G$150:$L$150,1,$B21-2016)</f>
        <v>-1720.9614885139417</v>
      </c>
      <c r="I21" s="66">
        <f t="shared" si="3"/>
        <v>10307.844749638842</v>
      </c>
    </row>
    <row r="22" spans="1:9">
      <c r="A22" s="63">
        <v>43235</v>
      </c>
      <c r="B22" s="149">
        <f t="shared" si="0"/>
        <v>2018</v>
      </c>
      <c r="C22" s="68">
        <f t="shared" si="1"/>
        <v>0.87397260273972599</v>
      </c>
      <c r="D22" s="34">
        <f>INDEX('SB 26'!$B$61:$G$61,1,$B22-2016)</f>
        <v>6171.7926000000007</v>
      </c>
      <c r="E22" s="34">
        <f>INDEX('SB 26'!$B$59:$G$59,1,$B22-2016)+INDEX('SB 26'!$B$62:$G$62,1,$B22-2016)+INDEX('SB 26'!$B$63:$G$63,1,$B22-2016)</f>
        <v>-1472.5369165839147</v>
      </c>
      <c r="F22" s="66">
        <f t="shared" si="2"/>
        <v>4884.8356783828258</v>
      </c>
      <c r="G22" s="13">
        <f>INDEX('PF Model'!$F$151:$K$151,1,$B22-2016)</f>
        <v>11670.469051503305</v>
      </c>
      <c r="H22" s="13">
        <f>INDEX('PF Model'!$G$150:$L$150,1,$B22-2016)</f>
        <v>-1720.9614885139417</v>
      </c>
      <c r="I22" s="66">
        <f t="shared" si="3"/>
        <v>10166.395860171942</v>
      </c>
    </row>
    <row r="23" spans="1:9">
      <c r="A23" s="63">
        <v>43266</v>
      </c>
      <c r="B23" s="149">
        <f t="shared" si="0"/>
        <v>2018</v>
      </c>
      <c r="C23" s="68">
        <f t="shared" si="1"/>
        <v>0.95890410958904104</v>
      </c>
      <c r="D23" s="34">
        <f>INDEX('SB 26'!$B$61:$G$61,1,$B23-2016)</f>
        <v>6171.7926000000007</v>
      </c>
      <c r="E23" s="34">
        <f>INDEX('SB 26'!$B$59:$G$59,1,$B23-2016)+INDEX('SB 26'!$B$62:$G$62,1,$B23-2016)+INDEX('SB 26'!$B$63:$G$63,1,$B23-2016)</f>
        <v>-1472.5369165839147</v>
      </c>
      <c r="F23" s="66">
        <f t="shared" si="2"/>
        <v>4759.7708991661102</v>
      </c>
      <c r="G23" s="13">
        <f>INDEX('PF Model'!$F$151:$K$151,1,$B23-2016)</f>
        <v>11670.469051503305</v>
      </c>
      <c r="H23" s="13">
        <f>INDEX('PF Model'!$G$150:$L$150,1,$B23-2016)</f>
        <v>-1720.9614885139417</v>
      </c>
      <c r="I23" s="66">
        <f t="shared" si="3"/>
        <v>10020.232007722814</v>
      </c>
    </row>
    <row r="24" spans="1:9">
      <c r="A24" s="63">
        <v>43296</v>
      </c>
      <c r="B24" s="149">
        <f t="shared" si="0"/>
        <v>2019</v>
      </c>
      <c r="C24" s="68">
        <f t="shared" si="1"/>
        <v>4.1095890410958902E-2</v>
      </c>
      <c r="D24" s="34">
        <f>INDEX('SB 26'!$B$61:$G$61,1,$B24-2016)</f>
        <v>4699.255683416086</v>
      </c>
      <c r="E24" s="34">
        <f>INDEX('SB 26'!$B$59:$G$59,1,$B24-2016)+INDEX('SB 26'!$B$62:$G$62,1,$B24-2016)+INDEX('SB 26'!$B$63:$G$63,1,$B24-2016)</f>
        <v>-389.12938683277861</v>
      </c>
      <c r="F24" s="66">
        <f t="shared" si="2"/>
        <v>4683.2640647791222</v>
      </c>
      <c r="G24" s="13">
        <f>INDEX('PF Model'!$F$151:$K$151,1,$B24-2016)</f>
        <v>9949.5075629893636</v>
      </c>
      <c r="H24" s="13">
        <f>INDEX('PF Model'!$G$150:$L$150,1,$B24-2016)</f>
        <v>935.35165350935813</v>
      </c>
      <c r="I24" s="66">
        <f t="shared" si="3"/>
        <v>9987.9466720376931</v>
      </c>
    </row>
    <row r="25" spans="1:9">
      <c r="A25" s="63">
        <v>43327</v>
      </c>
      <c r="B25" s="149">
        <f t="shared" si="0"/>
        <v>2019</v>
      </c>
      <c r="C25" s="68">
        <f t="shared" si="1"/>
        <v>0.12602739726027398</v>
      </c>
      <c r="D25" s="34">
        <f>INDEX('SB 26'!$B$61:$G$61,1,$B25-2016)</f>
        <v>4699.255683416086</v>
      </c>
      <c r="E25" s="34">
        <f>INDEX('SB 26'!$B$59:$G$59,1,$B25-2016)+INDEX('SB 26'!$B$62:$G$62,1,$B25-2016)+INDEX('SB 26'!$B$63:$G$63,1,$B25-2016)</f>
        <v>-389.12938683277861</v>
      </c>
      <c r="F25" s="66">
        <f t="shared" si="2"/>
        <v>4650.2147195960642</v>
      </c>
      <c r="G25" s="13">
        <f>INDEX('PF Model'!$F$151:$K$151,1,$B25-2016)</f>
        <v>9949.5075629893636</v>
      </c>
      <c r="H25" s="13">
        <f>INDEX('PF Model'!$G$150:$L$150,1,$B25-2016)</f>
        <v>935.35165350935813</v>
      </c>
      <c r="I25" s="66">
        <f t="shared" si="3"/>
        <v>10067.387497404241</v>
      </c>
    </row>
    <row r="26" spans="1:9">
      <c r="A26" s="63">
        <v>43358</v>
      </c>
      <c r="B26" s="149">
        <f t="shared" si="0"/>
        <v>2019</v>
      </c>
      <c r="C26" s="68">
        <f t="shared" si="1"/>
        <v>0.21095890410958903</v>
      </c>
      <c r="D26" s="34">
        <f>INDEX('SB 26'!$B$61:$G$61,1,$B26-2016)</f>
        <v>4699.255683416086</v>
      </c>
      <c r="E26" s="34">
        <f>INDEX('SB 26'!$B$59:$G$59,1,$B26-2016)+INDEX('SB 26'!$B$62:$G$62,1,$B26-2016)+INDEX('SB 26'!$B$63:$G$63,1,$B26-2016)</f>
        <v>-389.12938683277861</v>
      </c>
      <c r="F26" s="66">
        <f t="shared" si="2"/>
        <v>4617.1653744130062</v>
      </c>
      <c r="G26" s="13">
        <f>INDEX('PF Model'!$F$151:$K$151,1,$B26-2016)</f>
        <v>9949.5075629893636</v>
      </c>
      <c r="H26" s="13">
        <f>INDEX('PF Model'!$G$150:$L$150,1,$B26-2016)</f>
        <v>935.35165350935813</v>
      </c>
      <c r="I26" s="66">
        <f t="shared" si="3"/>
        <v>10146.828322770791</v>
      </c>
    </row>
    <row r="27" spans="1:9">
      <c r="A27" s="63">
        <v>43388</v>
      </c>
      <c r="B27" s="149">
        <f t="shared" si="0"/>
        <v>2019</v>
      </c>
      <c r="C27" s="68">
        <f t="shared" si="1"/>
        <v>0.29315068493150687</v>
      </c>
      <c r="D27" s="34">
        <f>INDEX('SB 26'!$B$61:$G$61,1,$B27-2016)</f>
        <v>4699.255683416086</v>
      </c>
      <c r="E27" s="34">
        <f>INDEX('SB 26'!$B$59:$G$59,1,$B27-2016)+INDEX('SB 26'!$B$62:$G$62,1,$B27-2016)+INDEX('SB 26'!$B$63:$G$63,1,$B27-2016)</f>
        <v>-389.12938683277861</v>
      </c>
      <c r="F27" s="66">
        <f t="shared" si="2"/>
        <v>4585.1821371390797</v>
      </c>
      <c r="G27" s="13">
        <f>INDEX('PF Model'!$F$151:$K$151,1,$B27-2016)</f>
        <v>9949.5075629893636</v>
      </c>
      <c r="H27" s="13">
        <f>INDEX('PF Model'!$G$150:$L$150,1,$B27-2016)</f>
        <v>935.35165350935813</v>
      </c>
      <c r="I27" s="66">
        <f t="shared" si="3"/>
        <v>10223.70654086745</v>
      </c>
    </row>
    <row r="28" spans="1:9">
      <c r="A28" s="63">
        <v>43419</v>
      </c>
      <c r="B28" s="149">
        <f t="shared" si="0"/>
        <v>2019</v>
      </c>
      <c r="C28" s="68">
        <f t="shared" si="1"/>
        <v>0.37808219178082192</v>
      </c>
      <c r="D28" s="34">
        <f>INDEX('SB 26'!$B$61:$G$61,1,$B28-2016)</f>
        <v>4699.255683416086</v>
      </c>
      <c r="E28" s="34">
        <f>INDEX('SB 26'!$B$59:$G$59,1,$B28-2016)+INDEX('SB 26'!$B$62:$G$62,1,$B28-2016)+INDEX('SB 26'!$B$63:$G$63,1,$B28-2016)</f>
        <v>-389.12938683277861</v>
      </c>
      <c r="F28" s="66">
        <f t="shared" si="2"/>
        <v>4552.1327919560217</v>
      </c>
      <c r="G28" s="13">
        <f>INDEX('PF Model'!$F$151:$K$151,1,$B28-2016)</f>
        <v>9949.5075629893636</v>
      </c>
      <c r="H28" s="13">
        <f>INDEX('PF Model'!$G$150:$L$150,1,$B28-2016)</f>
        <v>935.35165350935813</v>
      </c>
      <c r="I28" s="66">
        <f t="shared" si="3"/>
        <v>10303.147366233998</v>
      </c>
    </row>
    <row r="29" spans="1:9">
      <c r="A29" s="63">
        <v>43449</v>
      </c>
      <c r="B29" s="149">
        <f t="shared" si="0"/>
        <v>2019</v>
      </c>
      <c r="C29" s="68">
        <f t="shared" si="1"/>
        <v>0.46027397260273972</v>
      </c>
      <c r="D29" s="34">
        <f>INDEX('SB 26'!$B$61:$G$61,1,$B29-2016)</f>
        <v>4699.255683416086</v>
      </c>
      <c r="E29" s="34">
        <f>INDEX('SB 26'!$B$59:$G$59,1,$B29-2016)+INDEX('SB 26'!$B$62:$G$62,1,$B29-2016)+INDEX('SB 26'!$B$63:$G$63,1,$B29-2016)</f>
        <v>-389.12938683277861</v>
      </c>
      <c r="F29" s="66">
        <f t="shared" si="2"/>
        <v>4520.1495546820943</v>
      </c>
      <c r="G29" s="13">
        <f>INDEX('PF Model'!$F$151:$K$151,1,$B29-2016)</f>
        <v>9949.5075629893636</v>
      </c>
      <c r="H29" s="13">
        <f>INDEX('PF Model'!$G$150:$L$150,1,$B29-2016)</f>
        <v>935.35165350935813</v>
      </c>
      <c r="I29" s="66">
        <f t="shared" si="3"/>
        <v>10380.025584330657</v>
      </c>
    </row>
    <row r="30" spans="1:9">
      <c r="A30" s="63">
        <v>43480</v>
      </c>
      <c r="B30" s="149">
        <f t="shared" si="0"/>
        <v>2019</v>
      </c>
      <c r="C30" s="68">
        <f t="shared" si="1"/>
        <v>0.54520547945205478</v>
      </c>
      <c r="D30" s="34">
        <f>INDEX('SB 26'!$B$61:$G$61,1,$B30-2016)</f>
        <v>4699.255683416086</v>
      </c>
      <c r="E30" s="34">
        <f>INDEX('SB 26'!$B$59:$G$59,1,$B30-2016)+INDEX('SB 26'!$B$62:$G$62,1,$B30-2016)+INDEX('SB 26'!$B$63:$G$63,1,$B30-2016)</f>
        <v>-389.12938683277861</v>
      </c>
      <c r="F30" s="66">
        <f t="shared" si="2"/>
        <v>4487.1002094990372</v>
      </c>
      <c r="G30" s="13">
        <f>INDEX('PF Model'!$F$151:$K$151,1,$B30-2016)</f>
        <v>9949.5075629893636</v>
      </c>
      <c r="H30" s="13">
        <f>INDEX('PF Model'!$G$150:$L$150,1,$B30-2016)</f>
        <v>935.35165350935813</v>
      </c>
      <c r="I30" s="66">
        <f t="shared" si="3"/>
        <v>10459.466409697205</v>
      </c>
    </row>
    <row r="31" spans="1:9">
      <c r="A31" s="63">
        <v>43511</v>
      </c>
      <c r="B31" s="149">
        <f t="shared" si="0"/>
        <v>2019</v>
      </c>
      <c r="C31" s="68">
        <f t="shared" si="1"/>
        <v>0.63013698630136983</v>
      </c>
      <c r="D31" s="34">
        <f>INDEX('SB 26'!$B$61:$G$61,1,$B31-2016)</f>
        <v>4699.255683416086</v>
      </c>
      <c r="E31" s="34">
        <f>INDEX('SB 26'!$B$59:$G$59,1,$B31-2016)+INDEX('SB 26'!$B$62:$G$62,1,$B31-2016)+INDEX('SB 26'!$B$63:$G$63,1,$B31-2016)</f>
        <v>-389.12938683277861</v>
      </c>
      <c r="F31" s="66">
        <f t="shared" si="2"/>
        <v>4454.0508643159792</v>
      </c>
      <c r="G31" s="13">
        <f>INDEX('PF Model'!$F$151:$K$151,1,$B31-2016)</f>
        <v>9949.5075629893636</v>
      </c>
      <c r="H31" s="13">
        <f>INDEX('PF Model'!$G$150:$L$150,1,$B31-2016)</f>
        <v>935.35165350935813</v>
      </c>
      <c r="I31" s="66">
        <f t="shared" si="3"/>
        <v>10538.907235063754</v>
      </c>
    </row>
    <row r="32" spans="1:9">
      <c r="A32" s="63">
        <v>43539</v>
      </c>
      <c r="B32" s="149">
        <f t="shared" si="0"/>
        <v>2019</v>
      </c>
      <c r="C32" s="68">
        <f t="shared" si="1"/>
        <v>0.70684931506849313</v>
      </c>
      <c r="D32" s="34">
        <f>INDEX('SB 26'!$B$61:$G$61,1,$B32-2016)</f>
        <v>4699.255683416086</v>
      </c>
      <c r="E32" s="34">
        <f>INDEX('SB 26'!$B$59:$G$59,1,$B32-2016)+INDEX('SB 26'!$B$62:$G$62,1,$B32-2016)+INDEX('SB 26'!$B$63:$G$63,1,$B32-2016)</f>
        <v>-389.12938683277861</v>
      </c>
      <c r="F32" s="66">
        <f t="shared" si="2"/>
        <v>4424.1998428603138</v>
      </c>
      <c r="G32" s="13">
        <f>INDEX('PF Model'!$F$151:$K$151,1,$B32-2016)</f>
        <v>9949.5075629893636</v>
      </c>
      <c r="H32" s="13">
        <f>INDEX('PF Model'!$G$150:$L$150,1,$B32-2016)</f>
        <v>935.35165350935813</v>
      </c>
      <c r="I32" s="66">
        <f t="shared" si="3"/>
        <v>10610.660238620636</v>
      </c>
    </row>
    <row r="33" spans="1:9">
      <c r="A33" s="63">
        <v>43570</v>
      </c>
      <c r="B33" s="149">
        <f t="shared" si="0"/>
        <v>2019</v>
      </c>
      <c r="C33" s="68">
        <f t="shared" si="1"/>
        <v>0.79178082191780819</v>
      </c>
      <c r="D33" s="34">
        <f>INDEX('SB 26'!$B$61:$G$61,1,$B33-2016)</f>
        <v>4699.255683416086</v>
      </c>
      <c r="E33" s="34">
        <f>INDEX('SB 26'!$B$59:$G$59,1,$B33-2016)+INDEX('SB 26'!$B$62:$G$62,1,$B33-2016)+INDEX('SB 26'!$B$63:$G$63,1,$B33-2016)</f>
        <v>-389.12938683277861</v>
      </c>
      <c r="F33" s="66">
        <f t="shared" si="2"/>
        <v>4391.1504976772558</v>
      </c>
      <c r="G33" s="13">
        <f>INDEX('PF Model'!$F$151:$K$151,1,$B33-2016)</f>
        <v>9949.5075629893636</v>
      </c>
      <c r="H33" s="13">
        <f>INDEX('PF Model'!$G$150:$L$150,1,$B33-2016)</f>
        <v>935.35165350935813</v>
      </c>
      <c r="I33" s="66">
        <f t="shared" si="3"/>
        <v>10690.101063987184</v>
      </c>
    </row>
    <row r="34" spans="1:9">
      <c r="A34" s="63">
        <v>43600</v>
      </c>
      <c r="B34" s="149">
        <f t="shared" si="0"/>
        <v>2019</v>
      </c>
      <c r="C34" s="68">
        <f t="shared" si="1"/>
        <v>0.87397260273972599</v>
      </c>
      <c r="D34" s="34">
        <f>INDEX('SB 26'!$B$61:$G$61,1,$B34-2016)</f>
        <v>4699.255683416086</v>
      </c>
      <c r="E34" s="34">
        <f>INDEX('SB 26'!$B$59:$G$59,1,$B34-2016)+INDEX('SB 26'!$B$62:$G$62,1,$B34-2016)+INDEX('SB 26'!$B$63:$G$63,1,$B34-2016)</f>
        <v>-389.12938683277861</v>
      </c>
      <c r="F34" s="66">
        <f t="shared" si="2"/>
        <v>4359.1672604033283</v>
      </c>
      <c r="G34" s="13">
        <f>INDEX('PF Model'!$F$151:$K$151,1,$B34-2016)</f>
        <v>9949.5075629893636</v>
      </c>
      <c r="H34" s="13">
        <f>INDEX('PF Model'!$G$150:$L$150,1,$B34-2016)</f>
        <v>935.35165350935813</v>
      </c>
      <c r="I34" s="66">
        <f t="shared" si="3"/>
        <v>10766.979282083843</v>
      </c>
    </row>
    <row r="35" spans="1:9">
      <c r="A35" s="63">
        <v>43631</v>
      </c>
      <c r="B35" s="149">
        <f t="shared" si="0"/>
        <v>2019</v>
      </c>
      <c r="C35" s="68">
        <f t="shared" si="1"/>
        <v>0.95890410958904104</v>
      </c>
      <c r="D35" s="34">
        <f>INDEX('SB 26'!$B$61:$G$61,1,$B35-2016)</f>
        <v>4699.255683416086</v>
      </c>
      <c r="E35" s="34">
        <f>INDEX('SB 26'!$B$59:$G$59,1,$B35-2016)+INDEX('SB 26'!$B$62:$G$62,1,$B35-2016)+INDEX('SB 26'!$B$63:$G$63,1,$B35-2016)</f>
        <v>-389.12938683277861</v>
      </c>
      <c r="F35" s="66">
        <f t="shared" si="2"/>
        <v>4326.1179152202712</v>
      </c>
      <c r="G35" s="13">
        <f>INDEX('PF Model'!$F$151:$K$151,1,$B35-2016)</f>
        <v>9949.5075629893636</v>
      </c>
      <c r="H35" s="13">
        <f>INDEX('PF Model'!$G$150:$L$150,1,$B35-2016)</f>
        <v>935.35165350935813</v>
      </c>
      <c r="I35" s="66">
        <f t="shared" si="3"/>
        <v>10846.420107450393</v>
      </c>
    </row>
    <row r="36" spans="1:9">
      <c r="A36" s="63">
        <v>43661</v>
      </c>
      <c r="B36" s="149">
        <f t="shared" si="0"/>
        <v>2020</v>
      </c>
      <c r="C36" s="68">
        <f t="shared" si="1"/>
        <v>4.0983606557377046E-2</v>
      </c>
      <c r="D36" s="34">
        <f>INDEX('SB 26'!$B$61:$G$61,1,$B36-2016)</f>
        <v>4310.1262965833066</v>
      </c>
      <c r="E36" s="34">
        <f>INDEX('SB 26'!$B$59:$G$59,1,$B36-2016)+INDEX('SB 26'!$B$62:$G$62,1,$B36-2016)+INDEX('SB 26'!$B$63:$G$63,1,$B36-2016)</f>
        <v>-163.50055388793186</v>
      </c>
      <c r="F36" s="66">
        <f t="shared" si="2"/>
        <v>4303.4254542108501</v>
      </c>
      <c r="G36" s="13">
        <f>INDEX('PF Model'!$F$151:$K$151,1,$B36-2016)</f>
        <v>10884.859216498722</v>
      </c>
      <c r="H36" s="13">
        <f>INDEX('PF Model'!$G$150:$L$150,1,$B36-2016)</f>
        <v>563.21496440449755</v>
      </c>
      <c r="I36" s="66">
        <f t="shared" si="3"/>
        <v>10907.941797007103</v>
      </c>
    </row>
    <row r="37" spans="1:9">
      <c r="A37" s="63">
        <v>43692</v>
      </c>
      <c r="B37" s="149">
        <f t="shared" si="0"/>
        <v>2020</v>
      </c>
      <c r="C37" s="68">
        <f t="shared" si="1"/>
        <v>0.12568306010928962</v>
      </c>
      <c r="D37" s="34">
        <f>INDEX('SB 26'!$B$61:$G$61,1,$B37-2016)</f>
        <v>4310.1262965833066</v>
      </c>
      <c r="E37" s="34">
        <f>INDEX('SB 26'!$B$59:$G$59,1,$B37-2016)+INDEX('SB 26'!$B$62:$G$62,1,$B37-2016)+INDEX('SB 26'!$B$63:$G$63,1,$B37-2016)</f>
        <v>-163.50055388793186</v>
      </c>
      <c r="F37" s="66">
        <f t="shared" si="2"/>
        <v>4289.5770466411077</v>
      </c>
      <c r="G37" s="13">
        <f>INDEX('PF Model'!$F$151:$K$151,1,$B37-2016)</f>
        <v>10884.859216498722</v>
      </c>
      <c r="H37" s="13">
        <f>INDEX('PF Model'!$G$150:$L$150,1,$B37-2016)</f>
        <v>563.21496440449755</v>
      </c>
      <c r="I37" s="66">
        <f t="shared" si="3"/>
        <v>10955.645796724424</v>
      </c>
    </row>
    <row r="38" spans="1:9">
      <c r="A38" s="63">
        <v>43723</v>
      </c>
      <c r="B38" s="149">
        <f t="shared" si="0"/>
        <v>2020</v>
      </c>
      <c r="C38" s="68">
        <f t="shared" si="1"/>
        <v>0.2103825136612022</v>
      </c>
      <c r="D38" s="34">
        <f>INDEX('SB 26'!$B$61:$G$61,1,$B38-2016)</f>
        <v>4310.1262965833066</v>
      </c>
      <c r="E38" s="34">
        <f>INDEX('SB 26'!$B$59:$G$59,1,$B38-2016)+INDEX('SB 26'!$B$62:$G$62,1,$B38-2016)+INDEX('SB 26'!$B$63:$G$63,1,$B38-2016)</f>
        <v>-163.50055388793186</v>
      </c>
      <c r="F38" s="66">
        <f t="shared" si="2"/>
        <v>4275.7286390713643</v>
      </c>
      <c r="G38" s="13">
        <f>INDEX('PF Model'!$F$151:$K$151,1,$B38-2016)</f>
        <v>10884.859216498722</v>
      </c>
      <c r="H38" s="13">
        <f>INDEX('PF Model'!$G$150:$L$150,1,$B38-2016)</f>
        <v>563.21496440449755</v>
      </c>
      <c r="I38" s="66">
        <f t="shared" si="3"/>
        <v>11003.349796441746</v>
      </c>
    </row>
    <row r="39" spans="1:9">
      <c r="A39" s="63">
        <v>43753</v>
      </c>
      <c r="B39" s="149">
        <f t="shared" si="0"/>
        <v>2020</v>
      </c>
      <c r="C39" s="68">
        <f t="shared" si="1"/>
        <v>0.29234972677595628</v>
      </c>
      <c r="D39" s="34">
        <f>INDEX('SB 26'!$B$61:$G$61,1,$B39-2016)</f>
        <v>4310.1262965833066</v>
      </c>
      <c r="E39" s="34">
        <f>INDEX('SB 26'!$B$59:$G$59,1,$B39-2016)+INDEX('SB 26'!$B$62:$G$62,1,$B39-2016)+INDEX('SB 26'!$B$63:$G$63,1,$B39-2016)</f>
        <v>-163.50055388793186</v>
      </c>
      <c r="F39" s="66">
        <f t="shared" si="2"/>
        <v>4262.3269543264523</v>
      </c>
      <c r="G39" s="13">
        <f>INDEX('PF Model'!$F$151:$K$151,1,$B39-2016)</f>
        <v>10884.859216498722</v>
      </c>
      <c r="H39" s="13">
        <f>INDEX('PF Model'!$G$150:$L$150,1,$B39-2016)</f>
        <v>563.21496440449755</v>
      </c>
      <c r="I39" s="66">
        <f t="shared" si="3"/>
        <v>11049.514957458507</v>
      </c>
    </row>
    <row r="40" spans="1:9">
      <c r="A40" s="63">
        <v>43784</v>
      </c>
      <c r="B40" s="149">
        <f t="shared" si="0"/>
        <v>2020</v>
      </c>
      <c r="C40" s="68">
        <f t="shared" si="1"/>
        <v>0.37704918032786883</v>
      </c>
      <c r="D40" s="34">
        <f>INDEX('SB 26'!$B$61:$G$61,1,$B40-2016)</f>
        <v>4310.1262965833066</v>
      </c>
      <c r="E40" s="34">
        <f>INDEX('SB 26'!$B$59:$G$59,1,$B40-2016)+INDEX('SB 26'!$B$62:$G$62,1,$B40-2016)+INDEX('SB 26'!$B$63:$G$63,1,$B40-2016)</f>
        <v>-163.50055388793186</v>
      </c>
      <c r="F40" s="66">
        <f t="shared" si="2"/>
        <v>4248.478546756709</v>
      </c>
      <c r="G40" s="13">
        <f>INDEX('PF Model'!$F$151:$K$151,1,$B40-2016)</f>
        <v>10884.859216498722</v>
      </c>
      <c r="H40" s="13">
        <f>INDEX('PF Model'!$G$150:$L$150,1,$B40-2016)</f>
        <v>563.21496440449755</v>
      </c>
      <c r="I40" s="66">
        <f t="shared" si="3"/>
        <v>11097.218957175828</v>
      </c>
    </row>
    <row r="41" spans="1:9">
      <c r="A41" s="63">
        <v>43814</v>
      </c>
      <c r="B41" s="149">
        <f t="shared" si="0"/>
        <v>2020</v>
      </c>
      <c r="C41" s="68">
        <f t="shared" si="1"/>
        <v>0.45901639344262296</v>
      </c>
      <c r="D41" s="34">
        <f>INDEX('SB 26'!$B$61:$G$61,1,$B41-2016)</f>
        <v>4310.1262965833066</v>
      </c>
      <c r="E41" s="34">
        <f>INDEX('SB 26'!$B$59:$G$59,1,$B41-2016)+INDEX('SB 26'!$B$62:$G$62,1,$B41-2016)+INDEX('SB 26'!$B$63:$G$63,1,$B41-2016)</f>
        <v>-163.50055388793186</v>
      </c>
      <c r="F41" s="66">
        <f t="shared" si="2"/>
        <v>4235.0768620117969</v>
      </c>
      <c r="G41" s="13">
        <f>INDEX('PF Model'!$F$151:$K$151,1,$B41-2016)</f>
        <v>10884.859216498722</v>
      </c>
      <c r="H41" s="13">
        <f>INDEX('PF Model'!$G$150:$L$150,1,$B41-2016)</f>
        <v>563.21496440449755</v>
      </c>
      <c r="I41" s="66">
        <f t="shared" si="3"/>
        <v>11143.384118192589</v>
      </c>
    </row>
    <row r="42" spans="1:9">
      <c r="A42" s="63">
        <v>43845</v>
      </c>
      <c r="B42" s="149">
        <f t="shared" si="0"/>
        <v>2020</v>
      </c>
      <c r="C42" s="68">
        <f t="shared" si="1"/>
        <v>0.54371584699453557</v>
      </c>
      <c r="D42" s="34">
        <f>INDEX('SB 26'!$B$61:$G$61,1,$B42-2016)</f>
        <v>4310.1262965833066</v>
      </c>
      <c r="E42" s="34">
        <f>INDEX('SB 26'!$B$59:$G$59,1,$B42-2016)+INDEX('SB 26'!$B$62:$G$62,1,$B42-2016)+INDEX('SB 26'!$B$63:$G$63,1,$B42-2016)</f>
        <v>-163.50055388793186</v>
      </c>
      <c r="F42" s="66">
        <f t="shared" si="2"/>
        <v>4221.2284544420536</v>
      </c>
      <c r="G42" s="13">
        <f>INDEX('PF Model'!$F$151:$K$151,1,$B42-2016)</f>
        <v>10884.859216498722</v>
      </c>
      <c r="H42" s="13">
        <f>INDEX('PF Model'!$G$150:$L$150,1,$B42-2016)</f>
        <v>563.21496440449755</v>
      </c>
      <c r="I42" s="66">
        <f t="shared" si="3"/>
        <v>11191.088117909911</v>
      </c>
    </row>
    <row r="43" spans="1:9">
      <c r="A43" s="63">
        <v>43876</v>
      </c>
      <c r="B43" s="149">
        <f t="shared" si="0"/>
        <v>2020</v>
      </c>
      <c r="C43" s="68">
        <f t="shared" si="1"/>
        <v>0.62841530054644812</v>
      </c>
      <c r="D43" s="34">
        <f>INDEX('SB 26'!$B$61:$G$61,1,$B43-2016)</f>
        <v>4310.1262965833066</v>
      </c>
      <c r="E43" s="34">
        <f>INDEX('SB 26'!$B$59:$G$59,1,$B43-2016)+INDEX('SB 26'!$B$62:$G$62,1,$B43-2016)+INDEX('SB 26'!$B$63:$G$63,1,$B43-2016)</f>
        <v>-163.50055388793186</v>
      </c>
      <c r="F43" s="66">
        <f t="shared" si="2"/>
        <v>4207.3800468723111</v>
      </c>
      <c r="G43" s="13">
        <f>INDEX('PF Model'!$F$151:$K$151,1,$B43-2016)</f>
        <v>10884.859216498722</v>
      </c>
      <c r="H43" s="13">
        <f>INDEX('PF Model'!$G$150:$L$150,1,$B43-2016)</f>
        <v>563.21496440449755</v>
      </c>
      <c r="I43" s="66">
        <f t="shared" si="3"/>
        <v>11238.792117627232</v>
      </c>
    </row>
    <row r="44" spans="1:9">
      <c r="A44" s="63">
        <v>43905</v>
      </c>
      <c r="B44" s="149">
        <f t="shared" si="0"/>
        <v>2020</v>
      </c>
      <c r="C44" s="68">
        <f t="shared" si="1"/>
        <v>0.70765027322404372</v>
      </c>
      <c r="D44" s="34">
        <f>INDEX('SB 26'!$B$61:$G$61,1,$B44-2016)</f>
        <v>4310.1262965833066</v>
      </c>
      <c r="E44" s="34">
        <f>INDEX('SB 26'!$B$59:$G$59,1,$B44-2016)+INDEX('SB 26'!$B$62:$G$62,1,$B44-2016)+INDEX('SB 26'!$B$63:$G$63,1,$B44-2016)</f>
        <v>-163.50055388793186</v>
      </c>
      <c r="F44" s="66">
        <f t="shared" si="2"/>
        <v>4194.4250849522296</v>
      </c>
      <c r="G44" s="13">
        <f>INDEX('PF Model'!$F$151:$K$151,1,$B44-2016)</f>
        <v>10884.859216498722</v>
      </c>
      <c r="H44" s="13">
        <f>INDEX('PF Model'!$G$150:$L$150,1,$B44-2016)</f>
        <v>563.21496440449755</v>
      </c>
      <c r="I44" s="66">
        <f t="shared" si="3"/>
        <v>11283.418439943434</v>
      </c>
    </row>
    <row r="45" spans="1:9">
      <c r="A45" s="63">
        <v>43936</v>
      </c>
      <c r="B45" s="149">
        <f t="shared" si="0"/>
        <v>2020</v>
      </c>
      <c r="C45" s="68">
        <f t="shared" si="1"/>
        <v>0.79234972677595628</v>
      </c>
      <c r="D45" s="34">
        <f>INDEX('SB 26'!$B$61:$G$61,1,$B45-2016)</f>
        <v>4310.1262965833066</v>
      </c>
      <c r="E45" s="34">
        <f>INDEX('SB 26'!$B$59:$G$59,1,$B45-2016)+INDEX('SB 26'!$B$62:$G$62,1,$B45-2016)+INDEX('SB 26'!$B$63:$G$63,1,$B45-2016)</f>
        <v>-163.50055388793186</v>
      </c>
      <c r="F45" s="66">
        <f t="shared" si="2"/>
        <v>4180.5766773824862</v>
      </c>
      <c r="G45" s="13">
        <f>INDEX('PF Model'!$F$151:$K$151,1,$B45-2016)</f>
        <v>10884.859216498722</v>
      </c>
      <c r="H45" s="13">
        <f>INDEX('PF Model'!$G$150:$L$150,1,$B45-2016)</f>
        <v>563.21496440449755</v>
      </c>
      <c r="I45" s="66">
        <f t="shared" si="3"/>
        <v>11331.122439660756</v>
      </c>
    </row>
    <row r="46" spans="1:9">
      <c r="A46" s="63">
        <v>43966</v>
      </c>
      <c r="B46" s="149">
        <f t="shared" si="0"/>
        <v>2020</v>
      </c>
      <c r="C46" s="68">
        <f t="shared" si="1"/>
        <v>0.87431693989071035</v>
      </c>
      <c r="D46" s="34">
        <f>INDEX('SB 26'!$B$61:$G$61,1,$B46-2016)</f>
        <v>4310.1262965833066</v>
      </c>
      <c r="E46" s="34">
        <f>INDEX('SB 26'!$B$59:$G$59,1,$B46-2016)+INDEX('SB 26'!$B$62:$G$62,1,$B46-2016)+INDEX('SB 26'!$B$63:$G$63,1,$B46-2016)</f>
        <v>-163.50055388793186</v>
      </c>
      <c r="F46" s="66">
        <f t="shared" si="2"/>
        <v>4167.1749926375742</v>
      </c>
      <c r="G46" s="13">
        <f>INDEX('PF Model'!$F$151:$K$151,1,$B46-2016)</f>
        <v>10884.859216498722</v>
      </c>
      <c r="H46" s="13">
        <f>INDEX('PF Model'!$G$150:$L$150,1,$B46-2016)</f>
        <v>563.21496440449755</v>
      </c>
      <c r="I46" s="66">
        <f t="shared" si="3"/>
        <v>11377.287600677519</v>
      </c>
    </row>
    <row r="47" spans="1:9">
      <c r="A47" s="63">
        <v>43997</v>
      </c>
      <c r="B47" s="149">
        <f t="shared" si="0"/>
        <v>2020</v>
      </c>
      <c r="C47" s="68">
        <f t="shared" si="1"/>
        <v>0.95901639344262291</v>
      </c>
      <c r="D47" s="34">
        <f>INDEX('SB 26'!$B$61:$G$61,1,$B47-2016)</f>
        <v>4310.1262965833066</v>
      </c>
      <c r="E47" s="34">
        <f>INDEX('SB 26'!$B$59:$G$59,1,$B47-2016)+INDEX('SB 26'!$B$62:$G$62,1,$B47-2016)+INDEX('SB 26'!$B$63:$G$63,1,$B47-2016)</f>
        <v>-163.50055388793186</v>
      </c>
      <c r="F47" s="66">
        <f t="shared" si="2"/>
        <v>4153.3265850678308</v>
      </c>
      <c r="G47" s="13">
        <f>INDEX('PF Model'!$F$151:$K$151,1,$B47-2016)</f>
        <v>10884.859216498722</v>
      </c>
      <c r="H47" s="13">
        <f>INDEX('PF Model'!$G$150:$L$150,1,$B47-2016)</f>
        <v>563.21496440449755</v>
      </c>
      <c r="I47" s="66">
        <f t="shared" si="3"/>
        <v>11424.991600394838</v>
      </c>
    </row>
    <row r="48" spans="1:9">
      <c r="A48" s="63">
        <v>44027</v>
      </c>
      <c r="B48" s="149">
        <f t="shared" si="0"/>
        <v>2021</v>
      </c>
      <c r="C48" s="68">
        <f t="shared" si="1"/>
        <v>4.1095890410958902E-2</v>
      </c>
      <c r="D48" s="34">
        <f>INDEX('SB 26'!$B$61:$G$61,1,$B48-2016)</f>
        <v>4146.6257426953744</v>
      </c>
      <c r="E48" s="34">
        <f>INDEX('SB 26'!$B$59:$G$59,1,$B48-2016)+INDEX('SB 26'!$B$62:$G$62,1,$B48-2016)+INDEX('SB 26'!$B$63:$G$63,1,$B48-2016)</f>
        <v>-228.82807565865994</v>
      </c>
      <c r="F48" s="66">
        <f t="shared" si="2"/>
        <v>4137.2218491751555</v>
      </c>
      <c r="G48" s="13">
        <f>INDEX('PF Model'!$F$151:$K$151,1,$B48-2016)</f>
        <v>11448.074180903219</v>
      </c>
      <c r="H48" s="13">
        <f>INDEX('PF Model'!$G$150:$L$150,1,$B48-2016)</f>
        <v>-324.58425876543106</v>
      </c>
      <c r="I48" s="66">
        <f t="shared" si="3"/>
        <v>11434.735101775872</v>
      </c>
    </row>
    <row r="49" spans="1:9">
      <c r="A49" s="63">
        <v>44058</v>
      </c>
      <c r="B49" s="149">
        <f t="shared" si="0"/>
        <v>2021</v>
      </c>
      <c r="C49" s="68">
        <f t="shared" si="1"/>
        <v>0.12602739726027398</v>
      </c>
      <c r="D49" s="34">
        <f>INDEX('SB 26'!$B$61:$G$61,1,$B49-2016)</f>
        <v>4146.6257426953744</v>
      </c>
      <c r="E49" s="34">
        <f>INDEX('SB 26'!$B$59:$G$59,1,$B49-2016)+INDEX('SB 26'!$B$62:$G$62,1,$B49-2016)+INDEX('SB 26'!$B$63:$G$63,1,$B49-2016)</f>
        <v>-228.82807565865994</v>
      </c>
      <c r="F49" s="66">
        <f t="shared" si="2"/>
        <v>4117.7871359000364</v>
      </c>
      <c r="G49" s="13">
        <f>INDEX('PF Model'!$F$151:$K$151,1,$B49-2016)</f>
        <v>11448.074180903219</v>
      </c>
      <c r="H49" s="13">
        <f>INDEX('PF Model'!$G$150:$L$150,1,$B49-2016)</f>
        <v>-324.58425876543106</v>
      </c>
      <c r="I49" s="66">
        <f t="shared" si="3"/>
        <v>11407.167671579356</v>
      </c>
    </row>
    <row r="50" spans="1:9">
      <c r="A50" s="63">
        <v>44089</v>
      </c>
      <c r="B50" s="149">
        <f t="shared" si="0"/>
        <v>2021</v>
      </c>
      <c r="C50" s="68">
        <f t="shared" si="1"/>
        <v>0.21095890410958903</v>
      </c>
      <c r="D50" s="34">
        <f>INDEX('SB 26'!$B$61:$G$61,1,$B50-2016)</f>
        <v>4146.6257426953744</v>
      </c>
      <c r="E50" s="34">
        <f>INDEX('SB 26'!$B$59:$G$59,1,$B50-2016)+INDEX('SB 26'!$B$62:$G$62,1,$B50-2016)+INDEX('SB 26'!$B$63:$G$63,1,$B50-2016)</f>
        <v>-228.82807565865994</v>
      </c>
      <c r="F50" s="66">
        <f t="shared" si="2"/>
        <v>4098.3524226249174</v>
      </c>
      <c r="G50" s="13">
        <f>INDEX('PF Model'!$F$151:$K$151,1,$B50-2016)</f>
        <v>11448.074180903219</v>
      </c>
      <c r="H50" s="13">
        <f>INDEX('PF Model'!$G$150:$L$150,1,$B50-2016)</f>
        <v>-324.58425876543106</v>
      </c>
      <c r="I50" s="66">
        <f t="shared" si="3"/>
        <v>11379.600241382841</v>
      </c>
    </row>
    <row r="51" spans="1:9">
      <c r="A51" s="63">
        <v>44119</v>
      </c>
      <c r="B51" s="149">
        <f t="shared" si="0"/>
        <v>2021</v>
      </c>
      <c r="C51" s="68">
        <f t="shared" si="1"/>
        <v>0.29315068493150687</v>
      </c>
      <c r="D51" s="34">
        <f>INDEX('SB 26'!$B$61:$G$61,1,$B51-2016)</f>
        <v>4146.6257426953744</v>
      </c>
      <c r="E51" s="34">
        <f>INDEX('SB 26'!$B$59:$G$59,1,$B51-2016)+INDEX('SB 26'!$B$62:$G$62,1,$B51-2016)+INDEX('SB 26'!$B$63:$G$63,1,$B51-2016)</f>
        <v>-228.82807565865994</v>
      </c>
      <c r="F51" s="66">
        <f t="shared" si="2"/>
        <v>4079.5446355844797</v>
      </c>
      <c r="G51" s="13">
        <f>INDEX('PF Model'!$F$151:$K$151,1,$B51-2016)</f>
        <v>11448.074180903219</v>
      </c>
      <c r="H51" s="13">
        <f>INDEX('PF Model'!$G$150:$L$150,1,$B51-2016)</f>
        <v>-324.58425876543106</v>
      </c>
      <c r="I51" s="66">
        <f t="shared" si="3"/>
        <v>11352.922083128147</v>
      </c>
    </row>
    <row r="52" spans="1:9">
      <c r="A52" s="63">
        <v>44150</v>
      </c>
      <c r="B52" s="149">
        <f t="shared" si="0"/>
        <v>2021</v>
      </c>
      <c r="C52" s="68">
        <f t="shared" si="1"/>
        <v>0.37808219178082192</v>
      </c>
      <c r="D52" s="34">
        <f>INDEX('SB 26'!$B$61:$G$61,1,$B52-2016)</f>
        <v>4146.6257426953744</v>
      </c>
      <c r="E52" s="34">
        <f>INDEX('SB 26'!$B$59:$G$59,1,$B52-2016)+INDEX('SB 26'!$B$62:$G$62,1,$B52-2016)+INDEX('SB 26'!$B$63:$G$63,1,$B52-2016)</f>
        <v>-228.82807565865994</v>
      </c>
      <c r="F52" s="66">
        <f t="shared" si="2"/>
        <v>4060.1099223093606</v>
      </c>
      <c r="G52" s="13">
        <f>INDEX('PF Model'!$F$151:$K$151,1,$B52-2016)</f>
        <v>11448.074180903219</v>
      </c>
      <c r="H52" s="13">
        <f>INDEX('PF Model'!$G$150:$L$150,1,$B52-2016)</f>
        <v>-324.58425876543106</v>
      </c>
      <c r="I52" s="66">
        <f t="shared" si="3"/>
        <v>11325.354652931632</v>
      </c>
    </row>
    <row r="53" spans="1:9">
      <c r="A53" s="63">
        <v>44180</v>
      </c>
      <c r="B53" s="149">
        <f t="shared" si="0"/>
        <v>2021</v>
      </c>
      <c r="C53" s="68">
        <f t="shared" si="1"/>
        <v>0.46027397260273972</v>
      </c>
      <c r="D53" s="34">
        <f>INDEX('SB 26'!$B$61:$G$61,1,$B53-2016)</f>
        <v>4146.6257426953744</v>
      </c>
      <c r="E53" s="34">
        <f>INDEX('SB 26'!$B$59:$G$59,1,$B53-2016)+INDEX('SB 26'!$B$62:$G$62,1,$B53-2016)+INDEX('SB 26'!$B$63:$G$63,1,$B53-2016)</f>
        <v>-228.82807565865994</v>
      </c>
      <c r="F53" s="66">
        <f t="shared" si="2"/>
        <v>4041.3021352689225</v>
      </c>
      <c r="G53" s="13">
        <f>INDEX('PF Model'!$F$151:$K$151,1,$B53-2016)</f>
        <v>11448.074180903219</v>
      </c>
      <c r="H53" s="13">
        <f>INDEX('PF Model'!$G$150:$L$150,1,$B53-2016)</f>
        <v>-324.58425876543106</v>
      </c>
      <c r="I53" s="66">
        <f t="shared" si="3"/>
        <v>11298.676494676938</v>
      </c>
    </row>
    <row r="54" spans="1:9">
      <c r="A54" s="63">
        <v>44211</v>
      </c>
      <c r="B54" s="149">
        <f t="shared" si="0"/>
        <v>2021</v>
      </c>
      <c r="C54" s="68">
        <f t="shared" si="1"/>
        <v>0.54520547945205478</v>
      </c>
      <c r="D54" s="34">
        <f>INDEX('SB 26'!$B$61:$G$61,1,$B54-2016)</f>
        <v>4146.6257426953744</v>
      </c>
      <c r="E54" s="34">
        <f>INDEX('SB 26'!$B$59:$G$59,1,$B54-2016)+INDEX('SB 26'!$B$62:$G$62,1,$B54-2016)+INDEX('SB 26'!$B$63:$G$63,1,$B54-2016)</f>
        <v>-228.82807565865994</v>
      </c>
      <c r="F54" s="66">
        <f t="shared" si="2"/>
        <v>4021.8674219938034</v>
      </c>
      <c r="G54" s="13">
        <f>INDEX('PF Model'!$F$151:$K$151,1,$B54-2016)</f>
        <v>11448.074180903219</v>
      </c>
      <c r="H54" s="13">
        <f>INDEX('PF Model'!$G$150:$L$150,1,$B54-2016)</f>
        <v>-324.58425876543106</v>
      </c>
      <c r="I54" s="66">
        <f t="shared" si="3"/>
        <v>11271.109064480423</v>
      </c>
    </row>
    <row r="55" spans="1:9">
      <c r="A55" s="63">
        <v>44242</v>
      </c>
      <c r="B55" s="149">
        <f t="shared" si="0"/>
        <v>2021</v>
      </c>
      <c r="C55" s="68">
        <f t="shared" si="1"/>
        <v>0.63013698630136983</v>
      </c>
      <c r="D55" s="34">
        <f>INDEX('SB 26'!$B$61:$G$61,1,$B55-2016)</f>
        <v>4146.6257426953744</v>
      </c>
      <c r="E55" s="34">
        <f>INDEX('SB 26'!$B$59:$G$59,1,$B55-2016)+INDEX('SB 26'!$B$62:$G$62,1,$B55-2016)+INDEX('SB 26'!$B$63:$G$63,1,$B55-2016)</f>
        <v>-228.82807565865994</v>
      </c>
      <c r="F55" s="66">
        <f t="shared" si="2"/>
        <v>4002.4327087186844</v>
      </c>
      <c r="G55" s="13">
        <f>INDEX('PF Model'!$F$151:$K$151,1,$B55-2016)</f>
        <v>11448.074180903219</v>
      </c>
      <c r="H55" s="13">
        <f>INDEX('PF Model'!$G$150:$L$150,1,$B55-2016)</f>
        <v>-324.58425876543106</v>
      </c>
      <c r="I55" s="66">
        <f t="shared" si="3"/>
        <v>11243.541634283905</v>
      </c>
    </row>
    <row r="56" spans="1:9">
      <c r="A56" s="63">
        <v>44270</v>
      </c>
      <c r="B56" s="149">
        <f t="shared" si="0"/>
        <v>2021</v>
      </c>
      <c r="C56" s="68">
        <f t="shared" si="1"/>
        <v>0.70684931506849313</v>
      </c>
      <c r="D56" s="34">
        <f>INDEX('SB 26'!$B$61:$G$61,1,$B56-2016)</f>
        <v>4146.6257426953744</v>
      </c>
      <c r="E56" s="34">
        <f>INDEX('SB 26'!$B$59:$G$59,1,$B56-2016)+INDEX('SB 26'!$B$62:$G$62,1,$B56-2016)+INDEX('SB 26'!$B$63:$G$63,1,$B56-2016)</f>
        <v>-228.82807565865994</v>
      </c>
      <c r="F56" s="66">
        <f t="shared" si="2"/>
        <v>3984.8787741476094</v>
      </c>
      <c r="G56" s="13">
        <f>INDEX('PF Model'!$F$151:$K$151,1,$B56-2016)</f>
        <v>11448.074180903219</v>
      </c>
      <c r="H56" s="13">
        <f>INDEX('PF Model'!$G$150:$L$150,1,$B56-2016)</f>
        <v>-324.58425876543106</v>
      </c>
      <c r="I56" s="66">
        <f t="shared" si="3"/>
        <v>11218.642019912859</v>
      </c>
    </row>
    <row r="57" spans="1:9">
      <c r="A57" s="63">
        <v>44301</v>
      </c>
      <c r="B57" s="149">
        <f t="shared" si="0"/>
        <v>2021</v>
      </c>
      <c r="C57" s="68">
        <f t="shared" si="1"/>
        <v>0.79178082191780819</v>
      </c>
      <c r="D57" s="34">
        <f>INDEX('SB 26'!$B$61:$G$61,1,$B57-2016)</f>
        <v>4146.6257426953744</v>
      </c>
      <c r="E57" s="34">
        <f>INDEX('SB 26'!$B$59:$G$59,1,$B57-2016)+INDEX('SB 26'!$B$62:$G$62,1,$B57-2016)+INDEX('SB 26'!$B$63:$G$63,1,$B57-2016)</f>
        <v>-228.82807565865994</v>
      </c>
      <c r="F57" s="66">
        <f t="shared" si="2"/>
        <v>3965.4440608724904</v>
      </c>
      <c r="G57" s="13">
        <f>INDEX('PF Model'!$F$151:$K$151,1,$B57-2016)</f>
        <v>11448.074180903219</v>
      </c>
      <c r="H57" s="13">
        <f>INDEX('PF Model'!$G$150:$L$150,1,$B57-2016)</f>
        <v>-324.58425876543106</v>
      </c>
      <c r="I57" s="66">
        <f t="shared" si="3"/>
        <v>11191.074589716343</v>
      </c>
    </row>
    <row r="58" spans="1:9">
      <c r="A58" s="63">
        <v>44331</v>
      </c>
      <c r="B58" s="149">
        <f t="shared" si="0"/>
        <v>2021</v>
      </c>
      <c r="C58" s="68">
        <f t="shared" si="1"/>
        <v>0.87397260273972599</v>
      </c>
      <c r="D58" s="34">
        <f>INDEX('SB 26'!$B$61:$G$61,1,$B58-2016)</f>
        <v>4146.6257426953744</v>
      </c>
      <c r="E58" s="34">
        <f>INDEX('SB 26'!$B$59:$G$59,1,$B58-2016)+INDEX('SB 26'!$B$62:$G$62,1,$B58-2016)+INDEX('SB 26'!$B$63:$G$63,1,$B58-2016)</f>
        <v>-228.82807565865994</v>
      </c>
      <c r="F58" s="66">
        <f t="shared" si="2"/>
        <v>3946.6362738320522</v>
      </c>
      <c r="G58" s="13">
        <f>INDEX('PF Model'!$F$151:$K$151,1,$B58-2016)</f>
        <v>11448.074180903219</v>
      </c>
      <c r="H58" s="13">
        <f>INDEX('PF Model'!$G$150:$L$150,1,$B58-2016)</f>
        <v>-324.58425876543106</v>
      </c>
      <c r="I58" s="66">
        <f t="shared" si="3"/>
        <v>11164.39643146165</v>
      </c>
    </row>
    <row r="59" spans="1:9">
      <c r="A59" s="63">
        <v>44362</v>
      </c>
      <c r="B59" s="149">
        <f t="shared" si="0"/>
        <v>2021</v>
      </c>
      <c r="C59" s="68">
        <f t="shared" si="1"/>
        <v>0.95890410958904104</v>
      </c>
      <c r="D59" s="34">
        <f>INDEX('SB 26'!$B$61:$G$61,1,$B59-2016)</f>
        <v>4146.6257426953744</v>
      </c>
      <c r="E59" s="34">
        <f>INDEX('SB 26'!$B$59:$G$59,1,$B59-2016)+INDEX('SB 26'!$B$62:$G$62,1,$B59-2016)+INDEX('SB 26'!$B$63:$G$63,1,$B59-2016)</f>
        <v>-228.82807565865994</v>
      </c>
      <c r="F59" s="66">
        <f t="shared" si="2"/>
        <v>3927.2015605569331</v>
      </c>
      <c r="G59" s="13">
        <f>INDEX('PF Model'!$F$151:$K$151,1,$B59-2016)</f>
        <v>11448.074180903219</v>
      </c>
      <c r="H59" s="13">
        <f>INDEX('PF Model'!$G$150:$L$150,1,$B59-2016)</f>
        <v>-324.58425876543106</v>
      </c>
      <c r="I59" s="66">
        <f t="shared" si="3"/>
        <v>11136.829001265134</v>
      </c>
    </row>
    <row r="60" spans="1:9">
      <c r="A60" s="63">
        <v>44392</v>
      </c>
      <c r="B60" s="149">
        <f t="shared" si="0"/>
        <v>2022</v>
      </c>
      <c r="C60" s="68">
        <f t="shared" si="1"/>
        <v>4.1095890410958902E-2</v>
      </c>
      <c r="D60" s="34">
        <f>INDEX('SB 26'!$B$61:$G$61,1,$B60-2016)</f>
        <v>3917.7976670367143</v>
      </c>
      <c r="E60" s="34">
        <f>INDEX('SB 26'!$B$59:$G$59,1,$B60-2016)+INDEX('SB 26'!$B$62:$G$62,1,$B60-2016)+INDEX('SB 26'!$B$63:$G$63,1,$B60-2016)</f>
        <v>-186.17866079643625</v>
      </c>
      <c r="F60" s="66">
        <f t="shared" si="2"/>
        <v>3910.1464891957648</v>
      </c>
      <c r="G60" s="13">
        <f>INDEX('PF Model'!$F$151:$K$151,1,$B60-2016)</f>
        <v>11123.489922137787</v>
      </c>
      <c r="H60" s="13">
        <f>INDEX('PF Model'!$G$150:$L$150,1,$B60-2016)</f>
        <v>416.64698981440324</v>
      </c>
      <c r="I60" s="66">
        <f t="shared" si="3"/>
        <v>11140.612401171256</v>
      </c>
    </row>
    <row r="61" spans="1:9">
      <c r="A61" s="63">
        <v>44423</v>
      </c>
      <c r="B61" s="149">
        <f t="shared" si="0"/>
        <v>2022</v>
      </c>
      <c r="C61" s="68">
        <f t="shared" si="1"/>
        <v>0.12602739726027398</v>
      </c>
      <c r="D61" s="34">
        <f>INDEX('SB 26'!$B$61:$G$61,1,$B61-2016)</f>
        <v>3917.7976670367143</v>
      </c>
      <c r="E61" s="34">
        <f>INDEX('SB 26'!$B$59:$G$59,1,$B61-2016)+INDEX('SB 26'!$B$62:$G$62,1,$B61-2016)+INDEX('SB 26'!$B$63:$G$63,1,$B61-2016)</f>
        <v>-186.17866079643625</v>
      </c>
      <c r="F61" s="66">
        <f t="shared" si="2"/>
        <v>3894.3340549911359</v>
      </c>
      <c r="G61" s="13">
        <f>INDEX('PF Model'!$F$151:$K$151,1,$B61-2016)</f>
        <v>11123.489922137787</v>
      </c>
      <c r="H61" s="13">
        <f>INDEX('PF Model'!$G$150:$L$150,1,$B61-2016)</f>
        <v>416.64698981440324</v>
      </c>
      <c r="I61" s="66">
        <f t="shared" si="3"/>
        <v>11175.998857840425</v>
      </c>
    </row>
    <row r="62" spans="1:9">
      <c r="A62" s="63">
        <v>44454</v>
      </c>
      <c r="B62" s="149">
        <f t="shared" si="0"/>
        <v>2022</v>
      </c>
      <c r="C62" s="68">
        <f t="shared" si="1"/>
        <v>0.21095890410958903</v>
      </c>
      <c r="D62" s="34">
        <f>INDEX('SB 26'!$B$61:$G$61,1,$B62-2016)</f>
        <v>3917.7976670367143</v>
      </c>
      <c r="E62" s="34">
        <f>INDEX('SB 26'!$B$59:$G$59,1,$B62-2016)+INDEX('SB 26'!$B$62:$G$62,1,$B62-2016)+INDEX('SB 26'!$B$63:$G$63,1,$B62-2016)</f>
        <v>-186.17866079643625</v>
      </c>
      <c r="F62" s="66">
        <f t="shared" si="2"/>
        <v>3878.5216207865074</v>
      </c>
      <c r="G62" s="13">
        <f>INDEX('PF Model'!$F$151:$K$151,1,$B62-2016)</f>
        <v>11123.489922137787</v>
      </c>
      <c r="H62" s="13">
        <f>INDEX('PF Model'!$G$150:$L$150,1,$B62-2016)</f>
        <v>416.64698981440324</v>
      </c>
      <c r="I62" s="66">
        <f t="shared" si="3"/>
        <v>11211.385314509593</v>
      </c>
    </row>
    <row r="63" spans="1:9">
      <c r="A63" s="63">
        <v>44484</v>
      </c>
      <c r="B63" s="149">
        <f t="shared" si="0"/>
        <v>2022</v>
      </c>
      <c r="C63" s="68">
        <f t="shared" si="1"/>
        <v>0.29315068493150687</v>
      </c>
      <c r="D63" s="34">
        <f>INDEX('SB 26'!$B$61:$G$61,1,$B63-2016)</f>
        <v>3917.7976670367143</v>
      </c>
      <c r="E63" s="34">
        <f>INDEX('SB 26'!$B$59:$G$59,1,$B63-2016)+INDEX('SB 26'!$B$62:$G$62,1,$B63-2016)+INDEX('SB 26'!$B$63:$G$63,1,$B63-2016)</f>
        <v>-186.17866079643625</v>
      </c>
      <c r="F63" s="66">
        <f t="shared" si="2"/>
        <v>3863.2192651046084</v>
      </c>
      <c r="G63" s="13">
        <f>INDEX('PF Model'!$F$151:$K$151,1,$B63-2016)</f>
        <v>11123.489922137787</v>
      </c>
      <c r="H63" s="13">
        <f>INDEX('PF Model'!$G$150:$L$150,1,$B63-2016)</f>
        <v>416.64698981440324</v>
      </c>
      <c r="I63" s="66">
        <f t="shared" si="3"/>
        <v>11245.630272576531</v>
      </c>
    </row>
    <row r="64" spans="1:9">
      <c r="A64" s="63">
        <v>44515</v>
      </c>
      <c r="B64" s="149">
        <f t="shared" si="0"/>
        <v>2022</v>
      </c>
      <c r="C64" s="68">
        <f t="shared" si="1"/>
        <v>0.37808219178082192</v>
      </c>
      <c r="D64" s="34">
        <f>INDEX('SB 26'!$B$61:$G$61,1,$B64-2016)</f>
        <v>3917.7976670367143</v>
      </c>
      <c r="E64" s="34">
        <f>INDEX('SB 26'!$B$59:$G$59,1,$B64-2016)+INDEX('SB 26'!$B$62:$G$62,1,$B64-2016)+INDEX('SB 26'!$B$63:$G$63,1,$B64-2016)</f>
        <v>-186.17866079643625</v>
      </c>
      <c r="F64" s="66">
        <f t="shared" si="2"/>
        <v>3847.4068308999795</v>
      </c>
      <c r="G64" s="13">
        <f>INDEX('PF Model'!$F$151:$K$151,1,$B64-2016)</f>
        <v>11123.489922137787</v>
      </c>
      <c r="H64" s="13">
        <f>INDEX('PF Model'!$G$150:$L$150,1,$B64-2016)</f>
        <v>416.64698981440324</v>
      </c>
      <c r="I64" s="66">
        <f t="shared" si="3"/>
        <v>11281.016729245699</v>
      </c>
    </row>
    <row r="65" spans="1:9">
      <c r="A65" s="63">
        <v>44545</v>
      </c>
      <c r="B65" s="149">
        <f t="shared" si="0"/>
        <v>2022</v>
      </c>
      <c r="C65" s="68">
        <f t="shared" si="1"/>
        <v>0.46027397260273972</v>
      </c>
      <c r="D65" s="34">
        <f>INDEX('SB 26'!$B$61:$G$61,1,$B65-2016)</f>
        <v>3917.7976670367143</v>
      </c>
      <c r="E65" s="34">
        <f>INDEX('SB 26'!$B$59:$G$59,1,$B65-2016)+INDEX('SB 26'!$B$62:$G$62,1,$B65-2016)+INDEX('SB 26'!$B$63:$G$63,1,$B65-2016)</f>
        <v>-186.17866079643625</v>
      </c>
      <c r="F65" s="66">
        <f t="shared" si="2"/>
        <v>3832.1044752180806</v>
      </c>
      <c r="G65" s="13">
        <f>INDEX('PF Model'!$F$151:$K$151,1,$B65-2016)</f>
        <v>11123.489922137787</v>
      </c>
      <c r="H65" s="13">
        <f>INDEX('PF Model'!$G$150:$L$150,1,$B65-2016)</f>
        <v>416.64698981440324</v>
      </c>
      <c r="I65" s="66">
        <f t="shared" si="3"/>
        <v>11315.261687312635</v>
      </c>
    </row>
    <row r="66" spans="1:9">
      <c r="A66" s="63">
        <v>44576</v>
      </c>
      <c r="B66" s="149">
        <f t="shared" si="0"/>
        <v>2022</v>
      </c>
      <c r="C66" s="68">
        <f t="shared" si="1"/>
        <v>0.54520547945205478</v>
      </c>
      <c r="D66" s="34">
        <f>INDEX('SB 26'!$B$61:$G$61,1,$B66-2016)</f>
        <v>3917.7976670367143</v>
      </c>
      <c r="E66" s="34">
        <f>INDEX('SB 26'!$B$59:$G$59,1,$B66-2016)+INDEX('SB 26'!$B$62:$G$62,1,$B66-2016)+INDEX('SB 26'!$B$63:$G$63,1,$B66-2016)</f>
        <v>-186.17866079643625</v>
      </c>
      <c r="F66" s="66">
        <f t="shared" si="2"/>
        <v>3816.292041013452</v>
      </c>
      <c r="G66" s="13">
        <f>INDEX('PF Model'!$F$151:$K$151,1,$B66-2016)</f>
        <v>11123.489922137787</v>
      </c>
      <c r="H66" s="13">
        <f>INDEX('PF Model'!$G$150:$L$150,1,$B66-2016)</f>
        <v>416.64698981440324</v>
      </c>
      <c r="I66" s="66">
        <f t="shared" si="3"/>
        <v>11350.648143981804</v>
      </c>
    </row>
    <row r="67" spans="1:9">
      <c r="A67" s="63">
        <v>44607</v>
      </c>
      <c r="B67" s="149">
        <f t="shared" si="0"/>
        <v>2022</v>
      </c>
      <c r="C67" s="68">
        <f t="shared" si="1"/>
        <v>0.63013698630136983</v>
      </c>
      <c r="D67" s="34">
        <f>INDEX('SB 26'!$B$61:$G$61,1,$B67-2016)</f>
        <v>3917.7976670367143</v>
      </c>
      <c r="E67" s="34">
        <f>INDEX('SB 26'!$B$59:$G$59,1,$B67-2016)+INDEX('SB 26'!$B$62:$G$62,1,$B67-2016)+INDEX('SB 26'!$B$63:$G$63,1,$B67-2016)</f>
        <v>-186.17866079643625</v>
      </c>
      <c r="F67" s="66">
        <f t="shared" si="2"/>
        <v>3800.4796068088231</v>
      </c>
      <c r="G67" s="13">
        <f>INDEX('PF Model'!$F$151:$K$151,1,$B67-2016)</f>
        <v>11123.489922137787</v>
      </c>
      <c r="H67" s="13">
        <f>INDEX('PF Model'!$G$150:$L$150,1,$B67-2016)</f>
        <v>416.64698981440324</v>
      </c>
      <c r="I67" s="66">
        <f t="shared" si="3"/>
        <v>11386.034600650974</v>
      </c>
    </row>
    <row r="68" spans="1:9">
      <c r="A68" s="63">
        <v>44635</v>
      </c>
      <c r="B68" s="149">
        <f t="shared" si="0"/>
        <v>2022</v>
      </c>
      <c r="C68" s="68">
        <f t="shared" si="1"/>
        <v>0.70684931506849313</v>
      </c>
      <c r="D68" s="34">
        <f>INDEX('SB 26'!$B$61:$G$61,1,$B68-2016)</f>
        <v>3917.7976670367143</v>
      </c>
      <c r="E68" s="34">
        <f>INDEX('SB 26'!$B$59:$G$59,1,$B68-2016)+INDEX('SB 26'!$B$62:$G$62,1,$B68-2016)+INDEX('SB 26'!$B$63:$G$63,1,$B68-2016)</f>
        <v>-186.17866079643625</v>
      </c>
      <c r="F68" s="66">
        <f t="shared" si="2"/>
        <v>3786.1974081723838</v>
      </c>
      <c r="G68" s="13">
        <f>INDEX('PF Model'!$F$151:$K$151,1,$B68-2016)</f>
        <v>11123.489922137787</v>
      </c>
      <c r="H68" s="13">
        <f>INDEX('PF Model'!$G$150:$L$150,1,$B68-2016)</f>
        <v>416.64698981440324</v>
      </c>
      <c r="I68" s="66">
        <f t="shared" si="3"/>
        <v>11417.996561513448</v>
      </c>
    </row>
    <row r="69" spans="1:9">
      <c r="A69" s="63">
        <v>44666</v>
      </c>
      <c r="B69" s="149">
        <f t="shared" si="0"/>
        <v>2022</v>
      </c>
      <c r="C69" s="68">
        <f t="shared" si="1"/>
        <v>0.79178082191780819</v>
      </c>
      <c r="D69" s="34">
        <f>INDEX('SB 26'!$B$61:$G$61,1,$B69-2016)</f>
        <v>3917.7976670367143</v>
      </c>
      <c r="E69" s="34">
        <f>INDEX('SB 26'!$B$59:$G$59,1,$B69-2016)+INDEX('SB 26'!$B$62:$G$62,1,$B69-2016)+INDEX('SB 26'!$B$63:$G$63,1,$B69-2016)</f>
        <v>-186.17866079643625</v>
      </c>
      <c r="F69" s="66">
        <f t="shared" si="2"/>
        <v>3770.3849739677553</v>
      </c>
      <c r="G69" s="13">
        <f>INDEX('PF Model'!$F$151:$K$151,1,$B69-2016)</f>
        <v>11123.489922137787</v>
      </c>
      <c r="H69" s="13">
        <f>INDEX('PF Model'!$G$150:$L$150,1,$B69-2016)</f>
        <v>416.64698981440324</v>
      </c>
      <c r="I69" s="66">
        <f t="shared" si="3"/>
        <v>11453.383018182616</v>
      </c>
    </row>
    <row r="70" spans="1:9">
      <c r="A70" s="63">
        <v>44696</v>
      </c>
      <c r="B70" s="149">
        <f t="shared" si="0"/>
        <v>2022</v>
      </c>
      <c r="C70" s="68">
        <f t="shared" si="1"/>
        <v>0.87397260273972599</v>
      </c>
      <c r="D70" s="34">
        <f>INDEX('SB 26'!$B$61:$G$61,1,$B70-2016)</f>
        <v>3917.7976670367143</v>
      </c>
      <c r="E70" s="34">
        <f>INDEX('SB 26'!$B$59:$G$59,1,$B70-2016)+INDEX('SB 26'!$B$62:$G$62,1,$B70-2016)+INDEX('SB 26'!$B$63:$G$63,1,$B70-2016)</f>
        <v>-186.17866079643625</v>
      </c>
      <c r="F70" s="66">
        <f t="shared" si="2"/>
        <v>3755.0826182858564</v>
      </c>
      <c r="G70" s="13">
        <f>INDEX('PF Model'!$F$151:$K$151,1,$B70-2016)</f>
        <v>11123.489922137787</v>
      </c>
      <c r="H70" s="13">
        <f>INDEX('PF Model'!$G$150:$L$150,1,$B70-2016)</f>
        <v>416.64698981440324</v>
      </c>
      <c r="I70" s="66">
        <f t="shared" si="3"/>
        <v>11487.627976249554</v>
      </c>
    </row>
    <row r="71" spans="1:9">
      <c r="A71" s="63">
        <v>44727</v>
      </c>
      <c r="B71" s="149">
        <f t="shared" si="0"/>
        <v>2022</v>
      </c>
      <c r="C71" s="68">
        <f t="shared" si="1"/>
        <v>0.95890410958904104</v>
      </c>
      <c r="D71" s="34">
        <f>INDEX('SB 26'!$B$61:$G$61,1,$B71-2016)</f>
        <v>3917.7976670367143</v>
      </c>
      <c r="E71" s="34">
        <f>INDEX('SB 26'!$B$59:$G$59,1,$B71-2016)+INDEX('SB 26'!$B$62:$G$62,1,$B71-2016)+INDEX('SB 26'!$B$63:$G$63,1,$B71-2016)</f>
        <v>-186.17866079643625</v>
      </c>
      <c r="F71" s="66">
        <f t="shared" si="2"/>
        <v>3739.2701840812274</v>
      </c>
      <c r="G71" s="13">
        <f>INDEX('PF Model'!$F$151:$K$151,1,$B71-2016)</f>
        <v>11123.489922137787</v>
      </c>
      <c r="H71" s="13">
        <f>INDEX('PF Model'!$G$150:$L$150,1,$B71-2016)</f>
        <v>416.64698981440324</v>
      </c>
      <c r="I71" s="66">
        <f t="shared" si="3"/>
        <v>11523.014432918722</v>
      </c>
    </row>
    <row r="72" spans="1:9">
      <c r="A72" s="63">
        <v>44742</v>
      </c>
      <c r="B72" s="149">
        <f t="shared" si="0"/>
        <v>2022</v>
      </c>
      <c r="C72" s="70">
        <f t="shared" si="1"/>
        <v>1</v>
      </c>
      <c r="D72" s="34">
        <f>INDEX('SB 26'!$B$61:$G$61,1,$B72-2016)</f>
        <v>3917.7976670367143</v>
      </c>
      <c r="E72" s="34">
        <f>INDEX('SB 26'!$B$59:$G$59,1,$B72-2016)+INDEX('SB 26'!$B$62:$G$62,1,$B72-2016)+INDEX('SB 26'!$B$63:$G$63,1,$B72-2016)</f>
        <v>-186.17866079643625</v>
      </c>
      <c r="F72" s="66">
        <f t="shared" si="2"/>
        <v>3731.6190062402779</v>
      </c>
      <c r="G72" s="13">
        <f>INDEX('PF Model'!$F$151:$K$151,1,$B72-2016)</f>
        <v>11123.489922137787</v>
      </c>
      <c r="H72" s="13">
        <f>INDEX('PF Model'!$G$150:$L$150,1,$B72-2016)</f>
        <v>416.64698981440324</v>
      </c>
      <c r="I72" s="66">
        <f t="shared" si="3"/>
        <v>11540.136911952191</v>
      </c>
    </row>
    <row r="74" spans="1:9">
      <c r="F74" s="112">
        <f>F72/-E72</f>
        <v>20.043215426929891</v>
      </c>
      <c r="G74" s="149" t="s">
        <v>173</v>
      </c>
    </row>
    <row r="75" spans="1:9">
      <c r="F75" s="63">
        <f>A72+F74*365</f>
        <v>52057.773630829412</v>
      </c>
    </row>
    <row r="76" spans="1:9">
      <c r="F76" s="103">
        <f>YEARFRAC(F75,DATE(YEAR(F75), 1,1))+YEAR(F75)</f>
        <v>2042.5250000000001</v>
      </c>
    </row>
    <row r="1838" spans="1:1">
      <c r="A1838" s="63"/>
    </row>
    <row r="1839" spans="1:1">
      <c r="A1839" s="63"/>
    </row>
    <row r="1840" spans="1:1">
      <c r="A1840" s="63"/>
    </row>
    <row r="1841" spans="1:1">
      <c r="A1841" s="63"/>
    </row>
    <row r="1842" spans="1:1">
      <c r="A1842" s="63"/>
    </row>
    <row r="1843" spans="1:1">
      <c r="A1843" s="63"/>
    </row>
    <row r="1844" spans="1:1">
      <c r="A1844" s="63"/>
    </row>
    <row r="1845" spans="1:1">
      <c r="A1845" s="63"/>
    </row>
    <row r="1846" spans="1:1">
      <c r="A1846" s="63"/>
    </row>
    <row r="1847" spans="1:1">
      <c r="A1847" s="63"/>
    </row>
    <row r="1848" spans="1:1">
      <c r="A1848" s="63"/>
    </row>
    <row r="1849" spans="1:1">
      <c r="A1849" s="63"/>
    </row>
    <row r="1850" spans="1:1">
      <c r="A1850" s="63"/>
    </row>
    <row r="1851" spans="1:1">
      <c r="A1851" s="63"/>
    </row>
    <row r="1852" spans="1:1">
      <c r="A1852" s="63"/>
    </row>
    <row r="1853" spans="1:1">
      <c r="A1853" s="63"/>
    </row>
    <row r="1854" spans="1:1">
      <c r="A1854" s="63"/>
    </row>
    <row r="1855" spans="1:1">
      <c r="A1855" s="63"/>
    </row>
    <row r="1856" spans="1:1">
      <c r="A1856" s="63"/>
    </row>
    <row r="1857" spans="1:1">
      <c r="A1857" s="63"/>
    </row>
    <row r="1858" spans="1:1">
      <c r="A1858" s="63"/>
    </row>
    <row r="1859" spans="1:1">
      <c r="A1859" s="63"/>
    </row>
    <row r="1860" spans="1:1">
      <c r="A1860" s="63"/>
    </row>
    <row r="1861" spans="1:1">
      <c r="A1861" s="63"/>
    </row>
    <row r="1862" spans="1:1">
      <c r="A1862" s="63"/>
    </row>
    <row r="1863" spans="1:1">
      <c r="A1863" s="63"/>
    </row>
    <row r="1864" spans="1:1">
      <c r="A1864" s="63"/>
    </row>
    <row r="1865" spans="1:1">
      <c r="A1865" s="63"/>
    </row>
    <row r="1866" spans="1:1">
      <c r="A1866" s="63"/>
    </row>
    <row r="1867" spans="1:1">
      <c r="A1867" s="63"/>
    </row>
    <row r="1868" spans="1:1">
      <c r="A1868" s="63"/>
    </row>
    <row r="1869" spans="1:1">
      <c r="A1869" s="63"/>
    </row>
    <row r="1870" spans="1:1">
      <c r="A1870" s="63"/>
    </row>
    <row r="1871" spans="1:1">
      <c r="A1871" s="63"/>
    </row>
    <row r="1872" spans="1:1">
      <c r="A1872" s="63"/>
    </row>
    <row r="1873" spans="1:1">
      <c r="A1873" s="63"/>
    </row>
    <row r="1874" spans="1:1">
      <c r="A1874" s="63"/>
    </row>
    <row r="1875" spans="1:1">
      <c r="A1875" s="63"/>
    </row>
    <row r="1876" spans="1:1">
      <c r="A1876" s="63"/>
    </row>
    <row r="1877" spans="1:1">
      <c r="A1877" s="63"/>
    </row>
    <row r="1878" spans="1:1">
      <c r="A1878" s="63"/>
    </row>
    <row r="1879" spans="1:1">
      <c r="A1879" s="63"/>
    </row>
    <row r="1880" spans="1:1">
      <c r="A1880" s="63"/>
    </row>
    <row r="1881" spans="1:1">
      <c r="A1881" s="63"/>
    </row>
    <row r="1882" spans="1:1">
      <c r="A1882" s="63"/>
    </row>
    <row r="1883" spans="1:1">
      <c r="A1883" s="63"/>
    </row>
    <row r="1884" spans="1:1">
      <c r="A1884" s="63"/>
    </row>
    <row r="1885" spans="1:1">
      <c r="A1885" s="63"/>
    </row>
    <row r="1886" spans="1:1">
      <c r="A1886" s="63"/>
    </row>
    <row r="1887" spans="1:1">
      <c r="A1887" s="63"/>
    </row>
    <row r="1888" spans="1:1">
      <c r="A1888" s="63"/>
    </row>
    <row r="1889" spans="1:1">
      <c r="A1889" s="63"/>
    </row>
    <row r="1890" spans="1:1">
      <c r="A1890" s="63"/>
    </row>
    <row r="1891" spans="1:1">
      <c r="A1891" s="63"/>
    </row>
    <row r="1892" spans="1:1">
      <c r="A1892" s="63"/>
    </row>
    <row r="1893" spans="1:1">
      <c r="A1893" s="63"/>
    </row>
    <row r="1894" spans="1:1">
      <c r="A1894" s="63"/>
    </row>
    <row r="1895" spans="1:1">
      <c r="A1895" s="63"/>
    </row>
    <row r="1896" spans="1:1">
      <c r="A1896" s="63"/>
    </row>
    <row r="1897" spans="1:1">
      <c r="A1897" s="63"/>
    </row>
    <row r="1898" spans="1:1">
      <c r="A1898" s="63"/>
    </row>
    <row r="1899" spans="1:1">
      <c r="A1899" s="63"/>
    </row>
    <row r="1900" spans="1:1">
      <c r="A1900" s="63"/>
    </row>
    <row r="1901" spans="1:1">
      <c r="A1901" s="63"/>
    </row>
    <row r="1902" spans="1:1">
      <c r="A1902" s="63"/>
    </row>
    <row r="1903" spans="1:1">
      <c r="A1903" s="63"/>
    </row>
    <row r="1904" spans="1:1">
      <c r="A1904" s="63"/>
    </row>
    <row r="1905" spans="1:1">
      <c r="A1905" s="63"/>
    </row>
    <row r="1906" spans="1:1">
      <c r="A1906" s="63"/>
    </row>
    <row r="1907" spans="1:1">
      <c r="A1907" s="63"/>
    </row>
    <row r="1908" spans="1:1">
      <c r="A1908" s="63"/>
    </row>
    <row r="1909" spans="1:1">
      <c r="A1909" s="63"/>
    </row>
    <row r="1910" spans="1:1">
      <c r="A1910" s="63"/>
    </row>
    <row r="1911" spans="1:1">
      <c r="A1911" s="63"/>
    </row>
    <row r="1912" spans="1:1">
      <c r="A1912" s="63"/>
    </row>
    <row r="1913" spans="1:1">
      <c r="A1913" s="63"/>
    </row>
    <row r="1914" spans="1:1">
      <c r="A1914" s="63"/>
    </row>
    <row r="1915" spans="1:1">
      <c r="A1915" s="63"/>
    </row>
    <row r="1916" spans="1:1">
      <c r="A1916" s="63"/>
    </row>
    <row r="1917" spans="1:1">
      <c r="A1917" s="63"/>
    </row>
    <row r="1918" spans="1:1">
      <c r="A1918" s="63"/>
    </row>
    <row r="1919" spans="1:1">
      <c r="A1919" s="63"/>
    </row>
    <row r="1920" spans="1:1">
      <c r="A1920" s="63"/>
    </row>
    <row r="1921" spans="1:1">
      <c r="A1921" s="63"/>
    </row>
    <row r="1922" spans="1:1">
      <c r="A1922" s="63"/>
    </row>
    <row r="1923" spans="1:1">
      <c r="A1923" s="63"/>
    </row>
    <row r="1924" spans="1:1">
      <c r="A1924" s="63"/>
    </row>
    <row r="1925" spans="1:1">
      <c r="A1925" s="63"/>
    </row>
    <row r="1926" spans="1:1">
      <c r="A1926" s="63"/>
    </row>
    <row r="1927" spans="1:1">
      <c r="A1927" s="63"/>
    </row>
    <row r="1928" spans="1:1">
      <c r="A1928" s="63"/>
    </row>
    <row r="1929" spans="1:1">
      <c r="A1929" s="63"/>
    </row>
    <row r="1930" spans="1:1">
      <c r="A1930" s="63"/>
    </row>
    <row r="1931" spans="1:1">
      <c r="A1931" s="63"/>
    </row>
    <row r="1932" spans="1:1">
      <c r="A1932" s="63"/>
    </row>
    <row r="1933" spans="1:1">
      <c r="A1933" s="63"/>
    </row>
    <row r="1934" spans="1:1">
      <c r="A1934" s="63"/>
    </row>
    <row r="1935" spans="1:1">
      <c r="A1935" s="63"/>
    </row>
    <row r="1936" spans="1:1">
      <c r="A1936" s="63"/>
    </row>
    <row r="1937" spans="1:1">
      <c r="A1937" s="63"/>
    </row>
    <row r="1938" spans="1:1">
      <c r="A1938" s="63"/>
    </row>
    <row r="1939" spans="1:1">
      <c r="A1939" s="63"/>
    </row>
    <row r="1940" spans="1:1">
      <c r="A1940" s="63"/>
    </row>
    <row r="1941" spans="1:1">
      <c r="A1941" s="63"/>
    </row>
    <row r="1942" spans="1:1">
      <c r="A1942" s="63"/>
    </row>
    <row r="1943" spans="1:1">
      <c r="A1943" s="63"/>
    </row>
    <row r="1944" spans="1:1">
      <c r="A1944" s="63"/>
    </row>
    <row r="1945" spans="1:1">
      <c r="A1945" s="63"/>
    </row>
    <row r="1946" spans="1:1">
      <c r="A1946" s="63"/>
    </row>
    <row r="1947" spans="1:1">
      <c r="A1947" s="63"/>
    </row>
    <row r="1948" spans="1:1">
      <c r="A1948" s="63"/>
    </row>
    <row r="1949" spans="1:1">
      <c r="A1949" s="63"/>
    </row>
    <row r="1950" spans="1:1">
      <c r="A1950" s="63"/>
    </row>
    <row r="1951" spans="1:1">
      <c r="A1951" s="63"/>
    </row>
    <row r="1952" spans="1:1">
      <c r="A1952" s="63"/>
    </row>
    <row r="1953" spans="1:1">
      <c r="A1953" s="63"/>
    </row>
    <row r="1954" spans="1:1">
      <c r="A1954" s="63"/>
    </row>
    <row r="1955" spans="1:1">
      <c r="A1955" s="63"/>
    </row>
    <row r="1956" spans="1:1">
      <c r="A1956" s="63"/>
    </row>
    <row r="1957" spans="1:1">
      <c r="A1957" s="63"/>
    </row>
    <row r="1958" spans="1:1">
      <c r="A1958" s="63"/>
    </row>
    <row r="1959" spans="1:1">
      <c r="A1959" s="63"/>
    </row>
    <row r="1960" spans="1:1">
      <c r="A1960" s="63"/>
    </row>
    <row r="1961" spans="1:1">
      <c r="A1961" s="63"/>
    </row>
    <row r="1962" spans="1:1">
      <c r="A1962" s="63"/>
    </row>
    <row r="1963" spans="1:1">
      <c r="A1963" s="63"/>
    </row>
    <row r="1964" spans="1:1">
      <c r="A1964" s="63"/>
    </row>
    <row r="1965" spans="1:1">
      <c r="A1965" s="63"/>
    </row>
    <row r="1966" spans="1:1">
      <c r="A1966" s="63"/>
    </row>
    <row r="1967" spans="1:1">
      <c r="A1967" s="63"/>
    </row>
    <row r="1968" spans="1:1">
      <c r="A1968" s="63"/>
    </row>
    <row r="1969" spans="1:1">
      <c r="A1969" s="63"/>
    </row>
    <row r="1970" spans="1:1">
      <c r="A1970" s="63"/>
    </row>
    <row r="1971" spans="1:1">
      <c r="A1971" s="63"/>
    </row>
    <row r="1972" spans="1:1">
      <c r="A1972" s="63"/>
    </row>
    <row r="1973" spans="1:1">
      <c r="A1973" s="63"/>
    </row>
    <row r="1974" spans="1:1">
      <c r="A1974" s="63"/>
    </row>
    <row r="1975" spans="1:1">
      <c r="A1975" s="63"/>
    </row>
    <row r="1976" spans="1:1">
      <c r="A1976" s="63"/>
    </row>
    <row r="1977" spans="1:1">
      <c r="A1977" s="63"/>
    </row>
    <row r="1978" spans="1:1">
      <c r="A1978" s="63"/>
    </row>
    <row r="1979" spans="1:1">
      <c r="A1979" s="63"/>
    </row>
    <row r="1980" spans="1:1">
      <c r="A1980" s="63"/>
    </row>
    <row r="1981" spans="1:1">
      <c r="A1981" s="63"/>
    </row>
    <row r="1982" spans="1:1">
      <c r="A1982" s="63"/>
    </row>
    <row r="1983" spans="1:1">
      <c r="A1983" s="63"/>
    </row>
    <row r="1984" spans="1:1">
      <c r="A1984" s="63"/>
    </row>
    <row r="1985" spans="1:1">
      <c r="A1985" s="63"/>
    </row>
    <row r="1986" spans="1:1">
      <c r="A1986" s="63"/>
    </row>
    <row r="1987" spans="1:1">
      <c r="A1987" s="63"/>
    </row>
    <row r="1988" spans="1:1">
      <c r="A1988" s="63"/>
    </row>
    <row r="1989" spans="1:1">
      <c r="A1989" s="63"/>
    </row>
    <row r="1990" spans="1:1">
      <c r="A1990" s="63"/>
    </row>
    <row r="1991" spans="1:1">
      <c r="A1991" s="63"/>
    </row>
    <row r="1992" spans="1:1">
      <c r="A1992" s="63"/>
    </row>
    <row r="1993" spans="1:1">
      <c r="A1993" s="63"/>
    </row>
    <row r="1994" spans="1:1">
      <c r="A1994" s="63"/>
    </row>
    <row r="1995" spans="1:1">
      <c r="A1995" s="63"/>
    </row>
    <row r="1996" spans="1:1">
      <c r="A1996" s="63"/>
    </row>
    <row r="1997" spans="1:1">
      <c r="A1997" s="63"/>
    </row>
    <row r="1998" spans="1:1">
      <c r="A1998" s="63"/>
    </row>
    <row r="1999" spans="1:1">
      <c r="A1999" s="63"/>
    </row>
    <row r="2000" spans="1:1">
      <c r="A2000" s="63"/>
    </row>
    <row r="2001" spans="1:1">
      <c r="A2001" s="63"/>
    </row>
    <row r="2002" spans="1:1">
      <c r="A2002" s="63"/>
    </row>
    <row r="2003" spans="1:1">
      <c r="A2003" s="63"/>
    </row>
    <row r="2004" spans="1:1">
      <c r="A2004" s="63"/>
    </row>
    <row r="2005" spans="1:1">
      <c r="A2005" s="63"/>
    </row>
    <row r="2006" spans="1:1">
      <c r="A2006" s="63"/>
    </row>
    <row r="2007" spans="1:1">
      <c r="A2007" s="63"/>
    </row>
    <row r="2008" spans="1:1">
      <c r="A2008" s="63"/>
    </row>
    <row r="2009" spans="1:1">
      <c r="A2009" s="63"/>
    </row>
    <row r="2010" spans="1:1">
      <c r="A2010" s="63"/>
    </row>
    <row r="2011" spans="1:1">
      <c r="A2011" s="63"/>
    </row>
    <row r="2012" spans="1:1">
      <c r="A2012" s="63"/>
    </row>
    <row r="2013" spans="1:1">
      <c r="A2013" s="63"/>
    </row>
    <row r="2014" spans="1:1">
      <c r="A2014" s="63"/>
    </row>
    <row r="2015" spans="1:1">
      <c r="A2015" s="63"/>
    </row>
    <row r="2016" spans="1:1">
      <c r="A2016" s="63"/>
    </row>
    <row r="2017" spans="1:1">
      <c r="A2017" s="63"/>
    </row>
    <row r="2018" spans="1:1">
      <c r="A2018" s="63"/>
    </row>
    <row r="2019" spans="1:1">
      <c r="A2019" s="63"/>
    </row>
    <row r="2020" spans="1:1">
      <c r="A2020" s="63"/>
    </row>
    <row r="2021" spans="1:1">
      <c r="A2021" s="63"/>
    </row>
    <row r="2022" spans="1:1">
      <c r="A2022" s="63"/>
    </row>
    <row r="2023" spans="1:1">
      <c r="A2023" s="63"/>
    </row>
    <row r="2024" spans="1:1">
      <c r="A2024" s="63"/>
    </row>
    <row r="2025" spans="1:1">
      <c r="A2025" s="63"/>
    </row>
    <row r="2026" spans="1:1">
      <c r="A2026" s="63"/>
    </row>
    <row r="2027" spans="1:1">
      <c r="A2027" s="63"/>
    </row>
    <row r="2028" spans="1:1">
      <c r="A2028" s="63"/>
    </row>
    <row r="2029" spans="1:1">
      <c r="A2029" s="63"/>
    </row>
    <row r="2030" spans="1:1">
      <c r="A2030" s="63"/>
    </row>
    <row r="2031" spans="1:1">
      <c r="A2031" s="63"/>
    </row>
    <row r="2032" spans="1:1">
      <c r="A2032" s="63"/>
    </row>
    <row r="2033" spans="1:1">
      <c r="A2033" s="63"/>
    </row>
    <row r="2034" spans="1:1">
      <c r="A2034" s="63"/>
    </row>
    <row r="2035" spans="1:1">
      <c r="A2035" s="63"/>
    </row>
    <row r="2036" spans="1:1">
      <c r="A2036" s="63"/>
    </row>
    <row r="2037" spans="1:1">
      <c r="A2037" s="63"/>
    </row>
    <row r="2038" spans="1:1">
      <c r="A2038" s="63"/>
    </row>
    <row r="2039" spans="1:1">
      <c r="A2039" s="63"/>
    </row>
    <row r="2040" spans="1:1">
      <c r="A2040" s="63"/>
    </row>
    <row r="2041" spans="1:1">
      <c r="A2041" s="63"/>
    </row>
    <row r="2042" spans="1:1">
      <c r="A2042" s="63"/>
    </row>
    <row r="2043" spans="1:1">
      <c r="A2043" s="63"/>
    </row>
    <row r="2044" spans="1:1">
      <c r="A2044" s="63"/>
    </row>
    <row r="2045" spans="1:1">
      <c r="A2045" s="63"/>
    </row>
    <row r="2046" spans="1:1">
      <c r="A2046" s="63"/>
    </row>
    <row r="2047" spans="1:1">
      <c r="A2047" s="63"/>
    </row>
    <row r="2048" spans="1:1">
      <c r="A2048" s="63"/>
    </row>
    <row r="2049" spans="1:1">
      <c r="A2049" s="63"/>
    </row>
    <row r="2050" spans="1:1">
      <c r="A2050" s="63"/>
    </row>
    <row r="2051" spans="1:1">
      <c r="A2051" s="63"/>
    </row>
    <row r="2052" spans="1:1">
      <c r="A2052" s="63"/>
    </row>
    <row r="2053" spans="1:1">
      <c r="A2053" s="63"/>
    </row>
    <row r="2054" spans="1:1">
      <c r="A2054" s="63"/>
    </row>
    <row r="2055" spans="1:1">
      <c r="A2055" s="63"/>
    </row>
    <row r="2056" spans="1:1">
      <c r="A2056" s="63"/>
    </row>
    <row r="2057" spans="1:1">
      <c r="A2057" s="63"/>
    </row>
    <row r="2058" spans="1:1">
      <c r="A2058" s="63"/>
    </row>
    <row r="2059" spans="1:1">
      <c r="A2059" s="63"/>
    </row>
    <row r="2060" spans="1:1">
      <c r="A2060" s="63"/>
    </row>
    <row r="2061" spans="1:1">
      <c r="A2061" s="63"/>
    </row>
    <row r="2062" spans="1:1">
      <c r="A2062" s="63"/>
    </row>
    <row r="2063" spans="1:1">
      <c r="A2063" s="63"/>
    </row>
    <row r="2064" spans="1:1">
      <c r="A2064" s="63"/>
    </row>
    <row r="2065" spans="1:1">
      <c r="A2065" s="63"/>
    </row>
    <row r="2066" spans="1:1">
      <c r="A2066" s="63"/>
    </row>
    <row r="2067" spans="1:1">
      <c r="A2067" s="63"/>
    </row>
    <row r="2068" spans="1:1">
      <c r="A2068" s="63"/>
    </row>
    <row r="2069" spans="1:1">
      <c r="A2069" s="63"/>
    </row>
    <row r="2070" spans="1:1">
      <c r="A2070" s="63"/>
    </row>
    <row r="2071" spans="1:1">
      <c r="A2071" s="63"/>
    </row>
    <row r="2072" spans="1:1">
      <c r="A2072" s="63"/>
    </row>
    <row r="2073" spans="1:1">
      <c r="A2073" s="63"/>
    </row>
    <row r="2074" spans="1:1">
      <c r="A2074" s="63"/>
    </row>
    <row r="2075" spans="1:1">
      <c r="A2075" s="63"/>
    </row>
    <row r="2076" spans="1:1">
      <c r="A2076" s="63"/>
    </row>
    <row r="2077" spans="1:1">
      <c r="A2077" s="63"/>
    </row>
    <row r="2078" spans="1:1">
      <c r="A2078" s="63"/>
    </row>
    <row r="2079" spans="1:1">
      <c r="A2079" s="63"/>
    </row>
    <row r="2080" spans="1:1">
      <c r="A2080" s="63"/>
    </row>
    <row r="2081" spans="1:1">
      <c r="A2081" s="63"/>
    </row>
    <row r="2082" spans="1:1">
      <c r="A2082" s="63"/>
    </row>
    <row r="2083" spans="1:1">
      <c r="A2083" s="63"/>
    </row>
    <row r="2084" spans="1:1">
      <c r="A2084" s="63"/>
    </row>
    <row r="2085" spans="1:1">
      <c r="A2085" s="63"/>
    </row>
    <row r="2086" spans="1:1">
      <c r="A2086" s="63"/>
    </row>
    <row r="2087" spans="1:1">
      <c r="A2087" s="63"/>
    </row>
    <row r="2088" spans="1:1">
      <c r="A2088" s="63"/>
    </row>
    <row r="2089" spans="1:1">
      <c r="A2089" s="63"/>
    </row>
    <row r="2090" spans="1:1">
      <c r="A2090" s="63"/>
    </row>
    <row r="2091" spans="1:1">
      <c r="A2091" s="63"/>
    </row>
    <row r="2092" spans="1:1">
      <c r="A2092" s="63"/>
    </row>
    <row r="2093" spans="1:1">
      <c r="A2093" s="63"/>
    </row>
    <row r="2094" spans="1:1">
      <c r="A2094" s="63"/>
    </row>
    <row r="2095" spans="1:1">
      <c r="A2095" s="63"/>
    </row>
    <row r="2096" spans="1:1">
      <c r="A2096" s="63"/>
    </row>
    <row r="2097" spans="1:1">
      <c r="A2097" s="63"/>
    </row>
    <row r="2098" spans="1:1">
      <c r="A2098" s="63"/>
    </row>
    <row r="2099" spans="1:1">
      <c r="A2099" s="63"/>
    </row>
    <row r="2100" spans="1:1">
      <c r="A2100" s="63"/>
    </row>
    <row r="2101" spans="1:1">
      <c r="A2101" s="63"/>
    </row>
    <row r="2102" spans="1:1">
      <c r="A2102" s="63"/>
    </row>
    <row r="2103" spans="1:1">
      <c r="A2103" s="63"/>
    </row>
    <row r="2104" spans="1:1">
      <c r="A2104" s="63"/>
    </row>
    <row r="2105" spans="1:1">
      <c r="A2105" s="63"/>
    </row>
    <row r="2106" spans="1:1">
      <c r="A2106" s="63"/>
    </row>
    <row r="2107" spans="1:1">
      <c r="A2107" s="63"/>
    </row>
    <row r="2108" spans="1:1">
      <c r="A2108" s="63"/>
    </row>
    <row r="2109" spans="1:1">
      <c r="A2109" s="63"/>
    </row>
    <row r="2110" spans="1:1">
      <c r="A2110" s="63"/>
    </row>
    <row r="2111" spans="1:1">
      <c r="A2111" s="63"/>
    </row>
    <row r="2112" spans="1:1">
      <c r="A2112" s="63"/>
    </row>
    <row r="2113" spans="1:1">
      <c r="A2113" s="63"/>
    </row>
    <row r="2114" spans="1:1">
      <c r="A2114" s="63"/>
    </row>
    <row r="2115" spans="1:1">
      <c r="A2115" s="63"/>
    </row>
    <row r="2116" spans="1:1">
      <c r="A2116" s="63"/>
    </row>
    <row r="2117" spans="1:1">
      <c r="A2117" s="63"/>
    </row>
    <row r="2118" spans="1:1">
      <c r="A2118" s="63"/>
    </row>
    <row r="2119" spans="1:1">
      <c r="A2119" s="63"/>
    </row>
    <row r="2120" spans="1:1">
      <c r="A2120" s="63"/>
    </row>
    <row r="2121" spans="1:1">
      <c r="A2121" s="63"/>
    </row>
    <row r="2122" spans="1:1">
      <c r="A2122" s="63"/>
    </row>
    <row r="2123" spans="1:1">
      <c r="A2123" s="63"/>
    </row>
    <row r="2124" spans="1:1">
      <c r="A2124" s="63"/>
    </row>
    <row r="2125" spans="1:1">
      <c r="A2125" s="63"/>
    </row>
    <row r="2126" spans="1:1">
      <c r="A2126" s="63"/>
    </row>
    <row r="2127" spans="1:1">
      <c r="A2127" s="63"/>
    </row>
    <row r="2128" spans="1:1">
      <c r="A2128" s="63"/>
    </row>
    <row r="2129" spans="1:1">
      <c r="A2129" s="63"/>
    </row>
    <row r="2130" spans="1:1">
      <c r="A2130" s="63"/>
    </row>
    <row r="2131" spans="1:1">
      <c r="A2131" s="63"/>
    </row>
    <row r="2132" spans="1:1">
      <c r="A2132" s="63"/>
    </row>
    <row r="2133" spans="1:1">
      <c r="A2133" s="63"/>
    </row>
    <row r="2134" spans="1:1">
      <c r="A2134" s="63"/>
    </row>
    <row r="2135" spans="1:1">
      <c r="A2135" s="63"/>
    </row>
    <row r="2136" spans="1:1">
      <c r="A2136" s="63"/>
    </row>
  </sheetData>
  <mergeCells count="2">
    <mergeCell ref="D9:F9"/>
    <mergeCell ref="G9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40</vt:i4>
      </vt:variant>
    </vt:vector>
  </HeadingPairs>
  <TitlesOfParts>
    <vt:vector size="70" baseType="lpstr">
      <vt:lpstr>POMV vs Distrib Income</vt:lpstr>
      <vt:lpstr>Tradeoffs</vt:lpstr>
      <vt:lpstr>Help</vt:lpstr>
      <vt:lpstr>Common Inputs</vt:lpstr>
      <vt:lpstr>HB 61 Charts Helper</vt:lpstr>
      <vt:lpstr>Production Tax Table</vt:lpstr>
      <vt:lpstr>Royalty Table</vt:lpstr>
      <vt:lpstr>HB 115 Charts Helper</vt:lpstr>
      <vt:lpstr>SB 70 Charts Helper</vt:lpstr>
      <vt:lpstr>SB 21 Charts Helper</vt:lpstr>
      <vt:lpstr>SB 84 Charts Helper</vt:lpstr>
      <vt:lpstr>Generic Charts Helper</vt:lpstr>
      <vt:lpstr>HB 115</vt:lpstr>
      <vt:lpstr>HB 115 Charts</vt:lpstr>
      <vt:lpstr>SB 26</vt:lpstr>
      <vt:lpstr>SB 26 Charts</vt:lpstr>
      <vt:lpstr>HB61</vt:lpstr>
      <vt:lpstr>HB61 Charts</vt:lpstr>
      <vt:lpstr>SB 21</vt:lpstr>
      <vt:lpstr>SB 21 Charts</vt:lpstr>
      <vt:lpstr>SB 84</vt:lpstr>
      <vt:lpstr>SB 84 Charts</vt:lpstr>
      <vt:lpstr>Scratchpad</vt:lpstr>
      <vt:lpstr>Generic</vt:lpstr>
      <vt:lpstr>Generic Charts</vt:lpstr>
      <vt:lpstr>Flow Example</vt:lpstr>
      <vt:lpstr>Payout Examples</vt:lpstr>
      <vt:lpstr>PF Model</vt:lpstr>
      <vt:lpstr>Version Log</vt:lpstr>
      <vt:lpstr>To Do</vt:lpstr>
      <vt:lpstr>cbr_end_fy16_adj</vt:lpstr>
      <vt:lpstr>convert_to_cbr</vt:lpstr>
      <vt:lpstr>delay_HB365</vt:lpstr>
      <vt:lpstr>delay_SB128</vt:lpstr>
      <vt:lpstr>delay_SB70</vt:lpstr>
      <vt:lpstr>div_expenses</vt:lpstr>
      <vt:lpstr>div_growth</vt:lpstr>
      <vt:lpstr>inflation</vt:lpstr>
      <vt:lpstr>inflation_fy17</vt:lpstr>
      <vt:lpstr>init_pfd_recips</vt:lpstr>
      <vt:lpstr>limit_ER</vt:lpstr>
      <vt:lpstr>'Common Inputs'!Print_Area</vt:lpstr>
      <vt:lpstr>Generic!Print_Area</vt:lpstr>
      <vt:lpstr>'HB 115'!Print_Area</vt:lpstr>
      <vt:lpstr>'HB61'!Print_Area</vt:lpstr>
      <vt:lpstr>'SB 21'!Print_Area</vt:lpstr>
      <vt:lpstr>'SB 26'!Print_Area</vt:lpstr>
      <vt:lpstr>'SB 84'!Print_Area</vt:lpstr>
      <vt:lpstr>reduce_royalty_50_50</vt:lpstr>
      <vt:lpstr>reduce_royalty_HB365</vt:lpstr>
      <vt:lpstr>reduce_royalty_SB21</vt:lpstr>
      <vt:lpstr>return_cbr</vt:lpstr>
      <vt:lpstr>return_cbr_fy17</vt:lpstr>
      <vt:lpstr>return_stat</vt:lpstr>
      <vt:lpstr>return_stat_fy17</vt:lpstr>
      <vt:lpstr>return_total</vt:lpstr>
      <vt:lpstr>return_total_fy17</vt:lpstr>
      <vt:lpstr>sb114_pomv_pct</vt:lpstr>
      <vt:lpstr>series_x_values</vt:lpstr>
      <vt:lpstr>series_x_values_yearly</vt:lpstr>
      <vt:lpstr>sq_cbr</vt:lpstr>
      <vt:lpstr>sq_cbr2</vt:lpstr>
      <vt:lpstr>sq_er</vt:lpstr>
      <vt:lpstr>sq_er2</vt:lpstr>
      <vt:lpstr>sq_pf</vt:lpstr>
      <vt:lpstr>sq_pf2</vt:lpstr>
      <vt:lpstr>'SB 26 Charts'!sq2_label</vt:lpstr>
      <vt:lpstr>sq2_label</vt:lpstr>
      <vt:lpstr>tbl_prod_tax</vt:lpstr>
      <vt:lpstr>tbl_royalties</vt:lpstr>
    </vt:vector>
  </TitlesOfParts>
  <Company>General Communication,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Duncan</dc:creator>
  <cp:lastModifiedBy>Alan</cp:lastModifiedBy>
  <cp:lastPrinted>2016-11-15T01:19:40Z</cp:lastPrinted>
  <dcterms:created xsi:type="dcterms:W3CDTF">2015-09-18T15:15:45Z</dcterms:created>
  <dcterms:modified xsi:type="dcterms:W3CDTF">2017-04-12T18:34:25Z</dcterms:modified>
</cp:coreProperties>
</file>